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elas" sheetId="1" state="visible" r:id="rId1"/>
    <sheet xmlns:r="http://schemas.openxmlformats.org/officeDocument/2006/relationships" name="Despesa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R$&quot; #,##0.00"/>
    <numFmt numFmtId="165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FFFFFF"/>
      <sz val="16"/>
    </font>
    <font>
      <name val="Calibri"/>
      <b val="1"/>
      <color rgb="00FFFFFF"/>
      <sz val="14"/>
    </font>
    <font>
      <name val="Calibri"/>
      <b val="1"/>
      <color rgb="00DC2626"/>
      <sz val="10"/>
    </font>
  </fonts>
  <fills count="9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FFBEB"/>
      </patternFill>
    </fill>
    <fill>
      <patternFill patternType="solid">
        <fgColor rgb="000F4C45"/>
      </patternFill>
    </fill>
    <fill>
      <patternFill patternType="solid">
        <fgColor rgb="00FEF2F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4" fontId="2" fillId="3" borderId="1" applyAlignment="1" pivotButton="0" quotePrefix="0" xfId="0">
      <alignment horizontal="center" vertical="center"/>
    </xf>
    <xf numFmtId="9" fontId="2" fillId="3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4" fontId="2" fillId="4" borderId="1" applyAlignment="1" pivotButton="0" quotePrefix="0" xfId="0">
      <alignment horizontal="center" vertical="center"/>
    </xf>
    <xf numFmtId="9" fontId="2" fillId="4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/>
    </xf>
    <xf numFmtId="164" fontId="2" fillId="6" borderId="1" applyAlignment="1" pivotButton="0" quotePrefix="0" xfId="0">
      <alignment horizontal="center" vertical="center"/>
    </xf>
    <xf numFmtId="164" fontId="2" fillId="3" borderId="1" applyAlignment="1" pivotButton="0" quotePrefix="0" xfId="0">
      <alignment horizontal="center" vertical="center"/>
    </xf>
    <xf numFmtId="164" fontId="2" fillId="4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5" fillId="7" borderId="0" applyAlignment="1" pivotButton="0" quotePrefix="0" xfId="0">
      <alignment horizontal="center" vertical="center"/>
    </xf>
    <xf numFmtId="0" fontId="1" fillId="5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center" vertical="center"/>
    </xf>
    <xf numFmtId="165" fontId="2" fillId="4" borderId="1" applyAlignment="1" pivotButton="0" quotePrefix="0" xfId="0">
      <alignment horizontal="center" vertical="center"/>
    </xf>
    <xf numFmtId="0" fontId="6" fillId="2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4" fillId="4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7" fillId="8" borderId="1" pivotButton="0" quotePrefix="0" xfId="0"/>
    <xf numFmtId="0" fontId="7" fillId="8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FFFFFF"/>
        <sz val="10"/>
      </font>
      <fill>
        <patternFill patternType="solid">
          <fgColor rgb="00DC2626"/>
        </patternFill>
      </fill>
    </dxf>
    <dxf>
      <font>
        <name val="Calibri"/>
        <b val="1"/>
        <color rgb="00FFFFFF"/>
        <sz val="10"/>
      </font>
      <fill>
        <patternFill patternType="solid">
          <fgColor rgb="0022C55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Solicitado por Categoria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'Dashboard'!H5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'Dashboard'!$F$6:$F$12</f>
            </numRef>
          </cat>
          <val>
            <numRef>
              <f>'Dashboard'!$H$6:$H$12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'Dashboard'!C15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4B8A6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'Dashboard'!$A$16:$A$19</f>
            </numRef>
          </cat>
          <val>
            <numRef>
              <f>'Dashboard'!$C$16:$C$19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 Reembolsável por Categoria (R$)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'Dashboard'!I5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'Dashboard'!$F$6:$F$12</f>
            </numRef>
          </cat>
          <val>
            <numRef>
              <f>'Dashboard'!$I$6:$I$12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Valor Reembolsável (R$)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20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37</row>
      <rowOff>0</rowOff>
    </from>
    <ext cx="57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A6"/>
    <outlinePr summaryBelow="1" summaryRight="1"/>
    <pageSetUpPr/>
  </sheetPr>
  <dimension ref="A1:K8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8" customWidth="1" min="3" max="3"/>
    <col width="12" customWidth="1" min="4" max="4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</cols>
  <sheetData>
    <row r="1">
      <c r="A1" s="1" t="inlineStr">
        <is>
          <t>Categoria</t>
        </is>
      </c>
      <c r="B1" s="1" t="inlineStr">
        <is>
          <t>Limite (R$)</t>
        </is>
      </c>
      <c r="C1" s="1" t="inlineStr">
        <is>
          <t>% Reembolsável</t>
        </is>
      </c>
      <c r="D1" s="1" t="inlineStr">
        <is>
          <t>Exige NF?</t>
        </is>
      </c>
      <c r="F1" s="2" t="inlineStr">
        <is>
          <t>Status</t>
        </is>
      </c>
      <c r="G1" s="2" t="inlineStr">
        <is>
          <t>Forma de pagamento</t>
        </is>
      </c>
      <c r="H1" s="2" t="inlineStr">
        <is>
          <t>Centro de custo</t>
        </is>
      </c>
      <c r="I1" s="2" t="inlineStr">
        <is>
          <t>Projeto/Cliente</t>
        </is>
      </c>
      <c r="J1" s="2" t="inlineStr">
        <is>
          <t>Possui NF?</t>
        </is>
      </c>
      <c r="K1" s="2" t="inlineStr">
        <is>
          <t>Categoria</t>
        </is>
      </c>
    </row>
    <row r="2">
      <c r="A2" s="3" t="inlineStr">
        <is>
          <t>Alimentação</t>
        </is>
      </c>
      <c r="B2" s="4" t="n">
        <v>120</v>
      </c>
      <c r="C2" s="5" t="n">
        <v>1</v>
      </c>
      <c r="D2" s="3" t="inlineStr">
        <is>
          <t>Sim</t>
        </is>
      </c>
      <c r="F2" s="3" t="inlineStr">
        <is>
          <t>Em análise</t>
        </is>
      </c>
      <c r="G2" s="3" t="inlineStr">
        <is>
          <t>Cartão corporativo</t>
        </is>
      </c>
      <c r="H2" s="3" t="inlineStr">
        <is>
          <t>Comercial</t>
        </is>
      </c>
      <c r="I2" s="3" t="inlineStr">
        <is>
          <t>Cliente Alfa</t>
        </is>
      </c>
      <c r="J2" s="3" t="inlineStr">
        <is>
          <t>Sim</t>
        </is>
      </c>
      <c r="K2" s="3" t="inlineStr">
        <is>
          <t>Alimentação</t>
        </is>
      </c>
    </row>
    <row r="3">
      <c r="A3" s="6" t="inlineStr">
        <is>
          <t>Transporte</t>
        </is>
      </c>
      <c r="B3" s="7" t="n">
        <v>200</v>
      </c>
      <c r="C3" s="8" t="n">
        <v>1</v>
      </c>
      <c r="D3" s="6" t="inlineStr">
        <is>
          <t>Não</t>
        </is>
      </c>
      <c r="F3" s="6" t="inlineStr">
        <is>
          <t>Aprovado</t>
        </is>
      </c>
      <c r="G3" s="6" t="inlineStr">
        <is>
          <t>Cartão pessoal</t>
        </is>
      </c>
      <c r="H3" s="6" t="inlineStr">
        <is>
          <t>Operações</t>
        </is>
      </c>
      <c r="I3" s="6" t="inlineStr">
        <is>
          <t>Cliente Beta</t>
        </is>
      </c>
      <c r="J3" s="6" t="inlineStr">
        <is>
          <t>Não</t>
        </is>
      </c>
      <c r="K3" s="6" t="inlineStr">
        <is>
          <t>Transporte</t>
        </is>
      </c>
    </row>
    <row r="4">
      <c r="A4" s="3" t="inlineStr">
        <is>
          <t>Hospedagem</t>
        </is>
      </c>
      <c r="B4" s="4" t="n">
        <v>900</v>
      </c>
      <c r="C4" s="5" t="n">
        <v>1</v>
      </c>
      <c r="D4" s="3" t="inlineStr">
        <is>
          <t>Sim</t>
        </is>
      </c>
      <c r="F4" s="3" t="inlineStr">
        <is>
          <t>Reprovado</t>
        </is>
      </c>
      <c r="G4" s="3" t="inlineStr">
        <is>
          <t>Dinheiro</t>
        </is>
      </c>
      <c r="H4" s="3" t="inlineStr">
        <is>
          <t>TI</t>
        </is>
      </c>
      <c r="I4" s="3" t="inlineStr">
        <is>
          <t>Projeto Interno</t>
        </is>
      </c>
      <c r="K4" s="3" t="inlineStr">
        <is>
          <t>Hospedagem</t>
        </is>
      </c>
    </row>
    <row r="5">
      <c r="A5" s="6" t="inlineStr">
        <is>
          <t>Combustível</t>
        </is>
      </c>
      <c r="B5" s="7" t="n">
        <v>300</v>
      </c>
      <c r="C5" s="8" t="n">
        <v>1</v>
      </c>
      <c r="D5" s="6" t="inlineStr">
        <is>
          <t>Sim</t>
        </is>
      </c>
      <c r="F5" s="6" t="inlineStr">
        <is>
          <t>Pago</t>
        </is>
      </c>
      <c r="G5" s="6" t="inlineStr">
        <is>
          <t>PIX</t>
        </is>
      </c>
      <c r="H5" s="6" t="inlineStr">
        <is>
          <t>Financeiro</t>
        </is>
      </c>
      <c r="I5" s="6" t="inlineStr">
        <is>
          <t>Expansão Sul</t>
        </is>
      </c>
      <c r="K5" s="6" t="inlineStr">
        <is>
          <t>Combustível</t>
        </is>
      </c>
    </row>
    <row r="6">
      <c r="A6" s="3" t="inlineStr">
        <is>
          <t>Pedágio</t>
        </is>
      </c>
      <c r="B6" s="4" t="n">
        <v>80</v>
      </c>
      <c r="C6" s="5" t="n">
        <v>1</v>
      </c>
      <c r="D6" s="3" t="inlineStr">
        <is>
          <t>Não</t>
        </is>
      </c>
      <c r="H6" s="3" t="inlineStr">
        <is>
          <t>Marketing</t>
        </is>
      </c>
      <c r="K6" s="3" t="inlineStr">
        <is>
          <t>Pedágio</t>
        </is>
      </c>
    </row>
    <row r="7">
      <c r="A7" s="6" t="inlineStr">
        <is>
          <t>Material</t>
        </is>
      </c>
      <c r="B7" s="7" t="n">
        <v>250</v>
      </c>
      <c r="C7" s="8" t="n">
        <v>0.8</v>
      </c>
      <c r="D7" s="6" t="inlineStr">
        <is>
          <t>Sim</t>
        </is>
      </c>
      <c r="K7" s="6" t="inlineStr">
        <is>
          <t>Material</t>
        </is>
      </c>
    </row>
    <row r="8">
      <c r="A8" s="3" t="inlineStr">
        <is>
          <t>Outros</t>
        </is>
      </c>
      <c r="B8" s="4" t="n">
        <v>150</v>
      </c>
      <c r="C8" s="5" t="n">
        <v>0.5</v>
      </c>
      <c r="D8" s="3" t="inlineStr">
        <is>
          <t>Sim</t>
        </is>
      </c>
      <c r="K8" s="3" t="inlineStr">
        <is>
          <t>Outros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Y12"/>
  <sheetViews>
    <sheetView zoomScale="90"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4" customWidth="1" min="2" max="2"/>
    <col width="16" customWidth="1" min="3" max="3"/>
    <col width="22" customWidth="1" min="4" max="4"/>
    <col width="16" customWidth="1" min="5" max="5"/>
    <col width="13" customWidth="1" min="6" max="6"/>
    <col width="16" customWidth="1" min="7" max="7"/>
    <col width="18" customWidth="1" min="8" max="8"/>
    <col width="14" customWidth="1" min="9" max="9"/>
    <col width="18" customWidth="1" min="10" max="10"/>
    <col width="11" customWidth="1" min="11" max="11"/>
    <col width="13" customWidth="1" min="12" max="12"/>
    <col width="20" customWidth="1" min="13" max="13"/>
    <col width="22" customWidth="1" min="14" max="14"/>
    <col width="24" customWidth="1" min="15" max="15"/>
    <col width="14" customWidth="1" min="16" max="16"/>
    <col width="16" customWidth="1" min="17" max="17"/>
    <col width="14" customWidth="1" min="18" max="18"/>
    <col width="14" customWidth="1" min="19" max="19"/>
    <col width="18" customWidth="1" min="20" max="20"/>
    <col width="13" customWidth="1" min="21" max="21"/>
    <col width="16" customWidth="1" min="22" max="22"/>
    <col width="14" customWidth="1" min="23" max="23"/>
    <col width="22" customWidth="1" min="24" max="24"/>
    <col width="10" customWidth="1" min="25" max="25"/>
  </cols>
  <sheetData>
    <row r="1" ht="36" customHeight="1">
      <c r="A1" s="9" t="inlineStr">
        <is>
          <t>ID</t>
        </is>
      </c>
      <c r="B1" s="9" t="inlineStr">
        <is>
          <t>Data da Despesa</t>
        </is>
      </c>
      <c r="C1" s="9" t="inlineStr">
        <is>
          <t>Data de Solicitação</t>
        </is>
      </c>
      <c r="D1" s="9" t="inlineStr">
        <is>
          <t>Colaborador</t>
        </is>
      </c>
      <c r="E1" s="9" t="inlineStr">
        <is>
          <t>CPF</t>
        </is>
      </c>
      <c r="F1" s="9" t="inlineStr">
        <is>
          <t>Centro de Custo</t>
        </is>
      </c>
      <c r="G1" s="9" t="inlineStr">
        <is>
          <t>Projeto/Cliente</t>
        </is>
      </c>
      <c r="H1" s="9" t="inlineStr">
        <is>
          <t>Cidade</t>
        </is>
      </c>
      <c r="I1" s="9" t="inlineStr">
        <is>
          <t>Categoria</t>
        </is>
      </c>
      <c r="J1" s="9" t="inlineStr">
        <is>
          <t>Forma de Pagamento</t>
        </is>
      </c>
      <c r="K1" s="9" t="inlineStr">
        <is>
          <t>Possui NF?</t>
        </is>
      </c>
      <c r="L1" s="9" t="inlineStr">
        <is>
          <t>Nº NF/Recibo</t>
        </is>
      </c>
      <c r="M1" s="9" t="inlineStr">
        <is>
          <t>CNPJ Fornecedor</t>
        </is>
      </c>
      <c r="N1" s="9" t="inlineStr">
        <is>
          <t>Fornecedor</t>
        </is>
      </c>
      <c r="O1" s="9" t="inlineStr">
        <is>
          <t>Descrição</t>
        </is>
      </c>
      <c r="P1" s="9" t="inlineStr">
        <is>
          <t>Valor (R$)</t>
        </is>
      </c>
      <c r="Q1" s="9" t="inlineStr">
        <is>
          <t>Limite por Cat. (R$)</t>
        </is>
      </c>
      <c r="R1" s="9" t="inlineStr">
        <is>
          <t>Excede Limite?</t>
        </is>
      </c>
      <c r="S1" s="9" t="inlineStr">
        <is>
          <t>% Reembolsável</t>
        </is>
      </c>
      <c r="T1" s="9" t="inlineStr">
        <is>
          <t>Valor Reembolsável (R$)</t>
        </is>
      </c>
      <c r="U1" s="9" t="inlineStr">
        <is>
          <t>Status</t>
        </is>
      </c>
      <c r="V1" s="9" t="inlineStr">
        <is>
          <t>Data do Pagamento</t>
        </is>
      </c>
      <c r="W1" s="9" t="inlineStr">
        <is>
          <t>Dias até Pgto</t>
        </is>
      </c>
      <c r="X1" s="9" t="inlineStr">
        <is>
          <t>Observações</t>
        </is>
      </c>
      <c r="Y1" s="9" t="inlineStr">
        <is>
          <t>Mês/Ano</t>
        </is>
      </c>
    </row>
    <row r="2">
      <c r="A2" s="3" t="n">
        <v>1001</v>
      </c>
      <c r="B2" s="10" t="inlineStr">
        <is>
          <t>05/03/2026</t>
        </is>
      </c>
      <c r="C2" s="10" t="inlineStr">
        <is>
          <t>07/03/2026</t>
        </is>
      </c>
      <c r="D2" s="10" t="inlineStr">
        <is>
          <t>Ana Paula Souza</t>
        </is>
      </c>
      <c r="E2" s="10" t="inlineStr">
        <is>
          <t>321.654.987-00</t>
        </is>
      </c>
      <c r="F2" s="10" t="inlineStr">
        <is>
          <t>Comercial</t>
        </is>
      </c>
      <c r="G2" s="10" t="inlineStr">
        <is>
          <t>Cliente Alfa</t>
        </is>
      </c>
      <c r="H2" s="10" t="inlineStr">
        <is>
          <t>São Paulo/SP</t>
        </is>
      </c>
      <c r="I2" s="10" t="inlineStr">
        <is>
          <t>Alimentação</t>
        </is>
      </c>
      <c r="J2" s="10" t="inlineStr">
        <is>
          <t>Cartão pessoal</t>
        </is>
      </c>
      <c r="K2" s="10" t="inlineStr">
        <is>
          <t>Sim</t>
        </is>
      </c>
      <c r="L2" s="10" t="inlineStr">
        <is>
          <t>NF-0012341</t>
        </is>
      </c>
      <c r="M2" s="10" t="inlineStr">
        <is>
          <t>17.345.678/0001-99</t>
        </is>
      </c>
      <c r="N2" s="10" t="inlineStr">
        <is>
          <t>Restaurante Sabor Bom</t>
        </is>
      </c>
      <c r="O2" s="10" t="inlineStr">
        <is>
          <t>Almoço com cliente</t>
        </is>
      </c>
      <c r="P2" s="11" t="n">
        <v>48.9</v>
      </c>
      <c r="Q2" s="12">
        <f>IFERROR(VLOOKUP(I2,Tabelas!$A:$D,2,FALSE),"")</f>
        <v/>
      </c>
      <c r="R2" s="3">
        <f>IF(P2&gt;Q2,"Sim","Não")</f>
        <v/>
      </c>
      <c r="S2" s="5">
        <f>IFERROR(VLOOKUP(I2,Tabelas!$A:$D,3,FALSE),"")</f>
        <v/>
      </c>
      <c r="T2" s="12">
        <f>IF(AND(P2&gt;0,Q2&gt;0),MIN(P2,Q2)*S2,"")</f>
        <v/>
      </c>
      <c r="U2" s="10" t="inlineStr">
        <is>
          <t>Aprovado</t>
        </is>
      </c>
      <c r="V2" s="10" t="inlineStr">
        <is>
          <t>10/03/2026</t>
        </is>
      </c>
      <c r="W2" s="3">
        <f>IF(U2="Pago",IF(AND(V2&lt;&gt;"",C2&lt;&gt;""),V2-C2,""),"")</f>
        <v/>
      </c>
      <c r="X2" s="10" t="inlineStr"/>
      <c r="Y2" s="3">
        <f>IF(B2&lt;&gt;"",TEXT(DATEVALUE(B2),"mm/yyyy"),"")</f>
        <v/>
      </c>
    </row>
    <row r="3">
      <c r="A3" s="6" t="n">
        <v>1002</v>
      </c>
      <c r="B3" s="10" t="inlineStr">
        <is>
          <t>08/03/2026</t>
        </is>
      </c>
      <c r="C3" s="10" t="inlineStr">
        <is>
          <t>09/03/2026</t>
        </is>
      </c>
      <c r="D3" s="10" t="inlineStr">
        <is>
          <t>Bruno Henrique Lima</t>
        </is>
      </c>
      <c r="E3" s="10" t="inlineStr">
        <is>
          <t>456.789.012-11</t>
        </is>
      </c>
      <c r="F3" s="10" t="inlineStr">
        <is>
          <t>Operações</t>
        </is>
      </c>
      <c r="G3" s="10" t="inlineStr">
        <is>
          <t>Projeto Interno</t>
        </is>
      </c>
      <c r="H3" s="10" t="inlineStr">
        <is>
          <t>Campinas/SP</t>
        </is>
      </c>
      <c r="I3" s="10" t="inlineStr">
        <is>
          <t>Transporte</t>
        </is>
      </c>
      <c r="J3" s="10" t="inlineStr">
        <is>
          <t>Cartão corporativo</t>
        </is>
      </c>
      <c r="K3" s="10" t="inlineStr">
        <is>
          <t>Sim</t>
        </is>
      </c>
      <c r="L3" s="10" t="inlineStr">
        <is>
          <t>NF-0005678</t>
        </is>
      </c>
      <c r="M3" s="10" t="inlineStr">
        <is>
          <t>22.456.789/0001-88</t>
        </is>
      </c>
      <c r="N3" s="10" t="inlineStr">
        <is>
          <t>Uber Empresas</t>
        </is>
      </c>
      <c r="O3" s="10" t="inlineStr">
        <is>
          <t>Traslado aeroporto</t>
        </is>
      </c>
      <c r="P3" s="11" t="n">
        <v>132.5</v>
      </c>
      <c r="Q3" s="13">
        <f>IFERROR(VLOOKUP(I3,Tabelas!$A:$D,2,FALSE),"")</f>
        <v/>
      </c>
      <c r="R3" s="6">
        <f>IF(P3&gt;Q3,"Sim","Não")</f>
        <v/>
      </c>
      <c r="S3" s="8">
        <f>IFERROR(VLOOKUP(I3,Tabelas!$A:$D,3,FALSE),"")</f>
        <v/>
      </c>
      <c r="T3" s="13">
        <f>IF(AND(P3&gt;0,Q3&gt;0),MIN(P3,Q3)*S3,"")</f>
        <v/>
      </c>
      <c r="U3" s="10" t="inlineStr">
        <is>
          <t>Pago</t>
        </is>
      </c>
      <c r="V3" s="10" t="inlineStr">
        <is>
          <t>12/03/2026</t>
        </is>
      </c>
      <c r="W3" s="6">
        <f>IF(U3="Pago",IF(AND(V3&lt;&gt;"",C3&lt;&gt;""),V3-C3,""),"")</f>
        <v/>
      </c>
      <c r="X3" s="10" t="inlineStr"/>
      <c r="Y3" s="6">
        <f>IF(B3&lt;&gt;"",TEXT(DATEVALUE(B3),"mm/yyyy"),"")</f>
        <v/>
      </c>
    </row>
    <row r="4">
      <c r="A4" s="3" t="n">
        <v>1003</v>
      </c>
      <c r="B4" s="10" t="inlineStr">
        <is>
          <t>10/03/2026</t>
        </is>
      </c>
      <c r="C4" s="10" t="inlineStr">
        <is>
          <t>11/03/2026</t>
        </is>
      </c>
      <c r="D4" s="10" t="inlineStr">
        <is>
          <t>Carla Menezes</t>
        </is>
      </c>
      <c r="E4" s="10" t="inlineStr">
        <is>
          <t>789.012.345-22</t>
        </is>
      </c>
      <c r="F4" s="10" t="inlineStr">
        <is>
          <t>TI</t>
        </is>
      </c>
      <c r="G4" s="10" t="inlineStr">
        <is>
          <t>Cliente Beta</t>
        </is>
      </c>
      <c r="H4" s="10" t="inlineStr">
        <is>
          <t>Rio de Janeiro/RJ</t>
        </is>
      </c>
      <c r="I4" s="10" t="inlineStr">
        <is>
          <t>Hospedagem</t>
        </is>
      </c>
      <c r="J4" s="10" t="inlineStr">
        <is>
          <t>Cartão corporativo</t>
        </is>
      </c>
      <c r="K4" s="10" t="inlineStr">
        <is>
          <t>Sim</t>
        </is>
      </c>
      <c r="L4" s="10" t="inlineStr">
        <is>
          <t>NF-0009812</t>
        </is>
      </c>
      <c r="M4" s="10" t="inlineStr">
        <is>
          <t>33.567.890/0001-77</t>
        </is>
      </c>
      <c r="N4" s="10" t="inlineStr">
        <is>
          <t>Hotel Carioca Inn</t>
        </is>
      </c>
      <c r="O4" s="10" t="inlineStr">
        <is>
          <t>Diária hotel reunião</t>
        </is>
      </c>
      <c r="P4" s="11" t="n">
        <v>980</v>
      </c>
      <c r="Q4" s="12">
        <f>IFERROR(VLOOKUP(I4,Tabelas!$A:$D,2,FALSE),"")</f>
        <v/>
      </c>
      <c r="R4" s="3">
        <f>IF(P4&gt;Q4,"Sim","Não")</f>
        <v/>
      </c>
      <c r="S4" s="5">
        <f>IFERROR(VLOOKUP(I4,Tabelas!$A:$D,3,FALSE),"")</f>
        <v/>
      </c>
      <c r="T4" s="12">
        <f>IF(AND(P4&gt;0,Q4&gt;0),MIN(P4,Q4)*S4,"")</f>
        <v/>
      </c>
      <c r="U4" s="10" t="inlineStr">
        <is>
          <t>Aprovado</t>
        </is>
      </c>
      <c r="V4" s="10" t="inlineStr">
        <is>
          <t>15/03/2026</t>
        </is>
      </c>
      <c r="W4" s="3">
        <f>IF(U4="Pago",IF(AND(V4&lt;&gt;"",C4&lt;&gt;""),V4-C4,""),"")</f>
        <v/>
      </c>
      <c r="X4" s="10" t="inlineStr"/>
      <c r="Y4" s="3">
        <f>IF(B4&lt;&gt;"",TEXT(DATEVALUE(B4),"mm/yyyy"),"")</f>
        <v/>
      </c>
    </row>
    <row r="5">
      <c r="A5" s="6" t="n">
        <v>1004</v>
      </c>
      <c r="B5" s="10" t="inlineStr">
        <is>
          <t>12/03/2026</t>
        </is>
      </c>
      <c r="C5" s="10" t="inlineStr">
        <is>
          <t>13/03/2026</t>
        </is>
      </c>
      <c r="D5" s="10" t="inlineStr">
        <is>
          <t>Diego Ferreira</t>
        </is>
      </c>
      <c r="E5" s="10" t="inlineStr">
        <is>
          <t>012.345.678-33</t>
        </is>
      </c>
      <c r="F5" s="10" t="inlineStr">
        <is>
          <t>Financeiro</t>
        </is>
      </c>
      <c r="G5" s="10" t="inlineStr">
        <is>
          <t>Expansão Sul</t>
        </is>
      </c>
      <c r="H5" s="10" t="inlineStr">
        <is>
          <t>Belo Horizonte/MG</t>
        </is>
      </c>
      <c r="I5" s="10" t="inlineStr">
        <is>
          <t>Combustível</t>
        </is>
      </c>
      <c r="J5" s="10" t="inlineStr">
        <is>
          <t>Dinheiro</t>
        </is>
      </c>
      <c r="K5" s="10" t="inlineStr">
        <is>
          <t>Sim</t>
        </is>
      </c>
      <c r="L5" s="10" t="inlineStr">
        <is>
          <t>REC-00234</t>
        </is>
      </c>
      <c r="M5" s="10" t="inlineStr">
        <is>
          <t>44.678.901/0001-66</t>
        </is>
      </c>
      <c r="N5" s="10" t="inlineStr">
        <is>
          <t>Posto Ipiranga Centro</t>
        </is>
      </c>
      <c r="O5" s="10" t="inlineStr">
        <is>
          <t>Abastecimento viagem BH</t>
        </is>
      </c>
      <c r="P5" s="11" t="n">
        <v>245</v>
      </c>
      <c r="Q5" s="13">
        <f>IFERROR(VLOOKUP(I5,Tabelas!$A:$D,2,FALSE),"")</f>
        <v/>
      </c>
      <c r="R5" s="6">
        <f>IF(P5&gt;Q5,"Sim","Não")</f>
        <v/>
      </c>
      <c r="S5" s="8">
        <f>IFERROR(VLOOKUP(I5,Tabelas!$A:$D,3,FALSE),"")</f>
        <v/>
      </c>
      <c r="T5" s="13">
        <f>IF(AND(P5&gt;0,Q5&gt;0),MIN(P5,Q5)*S5,"")</f>
        <v/>
      </c>
      <c r="U5" s="10" t="inlineStr">
        <is>
          <t>Em análise</t>
        </is>
      </c>
      <c r="V5" s="10" t="inlineStr"/>
      <c r="W5" s="6">
        <f>IF(U5="Pago",IF(AND(V5&lt;&gt;"",C5&lt;&gt;""),V5-C5,""),"")</f>
        <v/>
      </c>
      <c r="X5" s="10" t="inlineStr"/>
      <c r="Y5" s="6">
        <f>IF(B5&lt;&gt;"",TEXT(DATEVALUE(B5),"mm/yyyy"),"")</f>
        <v/>
      </c>
    </row>
    <row r="6">
      <c r="A6" s="3" t="n">
        <v>1005</v>
      </c>
      <c r="B6" s="10" t="inlineStr">
        <is>
          <t>15/03/2026</t>
        </is>
      </c>
      <c r="C6" s="10" t="inlineStr">
        <is>
          <t>16/03/2026</t>
        </is>
      </c>
      <c r="D6" s="10" t="inlineStr">
        <is>
          <t>Fernanda Ribeiro</t>
        </is>
      </c>
      <c r="E6" s="10" t="inlineStr">
        <is>
          <t>234.567.890-44</t>
        </is>
      </c>
      <c r="F6" s="10" t="inlineStr">
        <is>
          <t>Marketing</t>
        </is>
      </c>
      <c r="G6" s="10" t="inlineStr">
        <is>
          <t>Cliente Alfa</t>
        </is>
      </c>
      <c r="H6" s="10" t="inlineStr">
        <is>
          <t>Curitiba/PR</t>
        </is>
      </c>
      <c r="I6" s="10" t="inlineStr">
        <is>
          <t>Material</t>
        </is>
      </c>
      <c r="J6" s="10" t="inlineStr">
        <is>
          <t>PIX</t>
        </is>
      </c>
      <c r="K6" s="10" t="inlineStr">
        <is>
          <t>Não</t>
        </is>
      </c>
      <c r="L6" s="10" t="inlineStr"/>
      <c r="M6" s="10" t="inlineStr">
        <is>
          <t>55.789.012/0001-55</t>
        </is>
      </c>
      <c r="N6" s="10" t="inlineStr">
        <is>
          <t>Papelaria Central</t>
        </is>
      </c>
      <c r="O6" s="10" t="inlineStr">
        <is>
          <t>Material p/ apresentação</t>
        </is>
      </c>
      <c r="P6" s="11" t="n">
        <v>1245.7</v>
      </c>
      <c r="Q6" s="12">
        <f>IFERROR(VLOOKUP(I6,Tabelas!$A:$D,2,FALSE),"")</f>
        <v/>
      </c>
      <c r="R6" s="3">
        <f>IF(P6&gt;Q6,"Sim","Não")</f>
        <v/>
      </c>
      <c r="S6" s="5">
        <f>IFERROR(VLOOKUP(I6,Tabelas!$A:$D,3,FALSE),"")</f>
        <v/>
      </c>
      <c r="T6" s="12">
        <f>IF(AND(P6&gt;0,Q6&gt;0),MIN(P6,Q6)*S6,"")</f>
        <v/>
      </c>
      <c r="U6" s="10" t="inlineStr">
        <is>
          <t>Reprovado</t>
        </is>
      </c>
      <c r="V6" s="10" t="inlineStr"/>
      <c r="W6" s="3">
        <f>IF(U6="Pago",IF(AND(V6&lt;&gt;"",C6&lt;&gt;""),V6-C6,""),"")</f>
        <v/>
      </c>
      <c r="X6" s="10" t="inlineStr">
        <is>
          <t>Sem NF, acima do limite</t>
        </is>
      </c>
      <c r="Y6" s="3">
        <f>IF(B6&lt;&gt;"",TEXT(DATEVALUE(B6),"mm/yyyy"),"")</f>
        <v/>
      </c>
    </row>
    <row r="7">
      <c r="A7" s="6" t="n">
        <v>1006</v>
      </c>
      <c r="B7" s="10" t="inlineStr">
        <is>
          <t>18/03/2026</t>
        </is>
      </c>
      <c r="C7" s="10" t="inlineStr">
        <is>
          <t>19/03/2026</t>
        </is>
      </c>
      <c r="D7" s="10" t="inlineStr">
        <is>
          <t>Gustavo Almeida</t>
        </is>
      </c>
      <c r="E7" s="10" t="inlineStr">
        <is>
          <t>345.678.901-55</t>
        </is>
      </c>
      <c r="F7" s="10" t="inlineStr">
        <is>
          <t>Operações</t>
        </is>
      </c>
      <c r="G7" s="10" t="inlineStr">
        <is>
          <t>Projeto Interno</t>
        </is>
      </c>
      <c r="H7" s="10" t="inlineStr">
        <is>
          <t>Porto Alegre/RS</t>
        </is>
      </c>
      <c r="I7" s="10" t="inlineStr">
        <is>
          <t>Pedágio</t>
        </is>
      </c>
      <c r="J7" s="10" t="inlineStr">
        <is>
          <t>Dinheiro</t>
        </is>
      </c>
      <c r="K7" s="10" t="inlineStr">
        <is>
          <t>Sim</t>
        </is>
      </c>
      <c r="L7" s="10" t="inlineStr">
        <is>
          <t>REC-00567</t>
        </is>
      </c>
      <c r="M7" s="10" t="inlineStr">
        <is>
          <t>66.890.123/0001-44</t>
        </is>
      </c>
      <c r="N7" s="10" t="inlineStr">
        <is>
          <t>Ecovias Sul</t>
        </is>
      </c>
      <c r="O7" s="10" t="inlineStr">
        <is>
          <t>Pedágios rodovia Gaúcha</t>
        </is>
      </c>
      <c r="P7" s="11" t="n">
        <v>27.4</v>
      </c>
      <c r="Q7" s="13">
        <f>IFERROR(VLOOKUP(I7,Tabelas!$A:$D,2,FALSE),"")</f>
        <v/>
      </c>
      <c r="R7" s="6">
        <f>IF(P7&gt;Q7,"Sim","Não")</f>
        <v/>
      </c>
      <c r="S7" s="8">
        <f>IFERROR(VLOOKUP(I7,Tabelas!$A:$D,3,FALSE),"")</f>
        <v/>
      </c>
      <c r="T7" s="13">
        <f>IF(AND(P7&gt;0,Q7&gt;0),MIN(P7,Q7)*S7,"")</f>
        <v/>
      </c>
      <c r="U7" s="10" t="inlineStr">
        <is>
          <t>Pago</t>
        </is>
      </c>
      <c r="V7" s="10" t="inlineStr">
        <is>
          <t>22/03/2026</t>
        </is>
      </c>
      <c r="W7" s="6">
        <f>IF(U7="Pago",IF(AND(V7&lt;&gt;"",C7&lt;&gt;""),V7-C7,""),"")</f>
        <v/>
      </c>
      <c r="X7" s="10" t="inlineStr"/>
      <c r="Y7" s="6">
        <f>IF(B7&lt;&gt;"",TEXT(DATEVALUE(B7),"mm/yyyy"),"")</f>
        <v/>
      </c>
    </row>
    <row r="8">
      <c r="A8" s="3" t="n">
        <v>1007</v>
      </c>
      <c r="B8" s="10" t="inlineStr">
        <is>
          <t>20/03/2026</t>
        </is>
      </c>
      <c r="C8" s="10" t="inlineStr">
        <is>
          <t>21/03/2026</t>
        </is>
      </c>
      <c r="D8" s="10" t="inlineStr">
        <is>
          <t>Helena Costa</t>
        </is>
      </c>
      <c r="E8" s="10" t="inlineStr">
        <is>
          <t>456.789.012-66</t>
        </is>
      </c>
      <c r="F8" s="10" t="inlineStr">
        <is>
          <t>Comercial</t>
        </is>
      </c>
      <c r="G8" s="10" t="inlineStr">
        <is>
          <t>Cliente Beta</t>
        </is>
      </c>
      <c r="H8" s="10" t="inlineStr">
        <is>
          <t>Salvador/BA</t>
        </is>
      </c>
      <c r="I8" s="10" t="inlineStr">
        <is>
          <t>Alimentação</t>
        </is>
      </c>
      <c r="J8" s="10" t="inlineStr">
        <is>
          <t>Cartão pessoal</t>
        </is>
      </c>
      <c r="K8" s="10" t="inlineStr">
        <is>
          <t>Não</t>
        </is>
      </c>
      <c r="L8" s="10" t="inlineStr"/>
      <c r="M8" s="10" t="inlineStr">
        <is>
          <t>77.901.234/0001-33</t>
        </is>
      </c>
      <c r="N8" s="10" t="inlineStr">
        <is>
          <t>Café Bahia</t>
        </is>
      </c>
      <c r="O8" s="10" t="inlineStr">
        <is>
          <t>Café com prospects</t>
        </is>
      </c>
      <c r="P8" s="11" t="n">
        <v>98.5</v>
      </c>
      <c r="Q8" s="12">
        <f>IFERROR(VLOOKUP(I8,Tabelas!$A:$D,2,FALSE),"")</f>
        <v/>
      </c>
      <c r="R8" s="3">
        <f>IF(P8&gt;Q8,"Sim","Não")</f>
        <v/>
      </c>
      <c r="S8" s="5">
        <f>IFERROR(VLOOKUP(I8,Tabelas!$A:$D,3,FALSE),"")</f>
        <v/>
      </c>
      <c r="T8" s="12">
        <f>IF(AND(P8&gt;0,Q8&gt;0),MIN(P8,Q8)*S8,"")</f>
        <v/>
      </c>
      <c r="U8" s="10" t="inlineStr">
        <is>
          <t>Em análise</t>
        </is>
      </c>
      <c r="V8" s="10" t="inlineStr"/>
      <c r="W8" s="3">
        <f>IF(U8="Pago",IF(AND(V8&lt;&gt;"",C8&lt;&gt;""),V8-C8,""),"")</f>
        <v/>
      </c>
      <c r="X8" s="10" t="inlineStr">
        <is>
          <t>Sem NF</t>
        </is>
      </c>
      <c r="Y8" s="3">
        <f>IF(B8&lt;&gt;"",TEXT(DATEVALUE(B8),"mm/yyyy"),"")</f>
        <v/>
      </c>
    </row>
    <row r="9">
      <c r="A9" s="6" t="n">
        <v>1008</v>
      </c>
      <c r="B9" s="10" t="inlineStr">
        <is>
          <t>25/03/2026</t>
        </is>
      </c>
      <c r="C9" s="10" t="inlineStr">
        <is>
          <t>26/03/2026</t>
        </is>
      </c>
      <c r="D9" s="10" t="inlineStr">
        <is>
          <t>Igor Martins</t>
        </is>
      </c>
      <c r="E9" s="10" t="inlineStr">
        <is>
          <t>567.890.123-77</t>
        </is>
      </c>
      <c r="F9" s="10" t="inlineStr">
        <is>
          <t>TI</t>
        </is>
      </c>
      <c r="G9" s="10" t="inlineStr">
        <is>
          <t>Expansão Sul</t>
        </is>
      </c>
      <c r="H9" s="10" t="inlineStr">
        <is>
          <t>Recife/PE</t>
        </is>
      </c>
      <c r="I9" s="10" t="inlineStr">
        <is>
          <t>Hospedagem</t>
        </is>
      </c>
      <c r="J9" s="10" t="inlineStr">
        <is>
          <t>Cartão corporativo</t>
        </is>
      </c>
      <c r="K9" s="10" t="inlineStr">
        <is>
          <t>Sim</t>
        </is>
      </c>
      <c r="L9" s="10" t="inlineStr">
        <is>
          <t>NF-0014567</t>
        </is>
      </c>
      <c r="M9" s="10" t="inlineStr">
        <is>
          <t>88.012.345/0001-22</t>
        </is>
      </c>
      <c r="N9" s="10" t="inlineStr">
        <is>
          <t>Hotel Recife Business</t>
        </is>
      </c>
      <c r="O9" s="10" t="inlineStr">
        <is>
          <t>2 diárias implantação sistema</t>
        </is>
      </c>
      <c r="P9" s="11" t="n">
        <v>1560</v>
      </c>
      <c r="Q9" s="13">
        <f>IFERROR(VLOOKUP(I9,Tabelas!$A:$D,2,FALSE),"")</f>
        <v/>
      </c>
      <c r="R9" s="6">
        <f>IF(P9&gt;Q9,"Sim","Não")</f>
        <v/>
      </c>
      <c r="S9" s="8">
        <f>IFERROR(VLOOKUP(I9,Tabelas!$A:$D,3,FALSE),"")</f>
        <v/>
      </c>
      <c r="T9" s="13">
        <f>IF(AND(P9&gt;0,Q9&gt;0),MIN(P9,Q9)*S9,"")</f>
        <v/>
      </c>
      <c r="U9" s="10" t="inlineStr">
        <is>
          <t>Aprovado</t>
        </is>
      </c>
      <c r="V9" s="10" t="inlineStr">
        <is>
          <t>01/04/2026</t>
        </is>
      </c>
      <c r="W9" s="6">
        <f>IF(U9="Pago",IF(AND(V9&lt;&gt;"",C9&lt;&gt;""),V9-C9,""),"")</f>
        <v/>
      </c>
      <c r="X9" s="10" t="inlineStr">
        <is>
          <t>Acima do limite</t>
        </is>
      </c>
      <c r="Y9" s="6">
        <f>IF(B9&lt;&gt;"",TEXT(DATEVALUE(B9),"mm/yyyy"),"")</f>
        <v/>
      </c>
    </row>
    <row r="10">
      <c r="A10" s="3" t="n">
        <v>1009</v>
      </c>
      <c r="B10" s="10" t="inlineStr">
        <is>
          <t>05/04/2026</t>
        </is>
      </c>
      <c r="C10" s="10" t="inlineStr">
        <is>
          <t>07/04/2026</t>
        </is>
      </c>
      <c r="D10" s="10" t="inlineStr">
        <is>
          <t>Juliana Rocha</t>
        </is>
      </c>
      <c r="E10" s="10" t="inlineStr">
        <is>
          <t>678.901.234-88</t>
        </is>
      </c>
      <c r="F10" s="10" t="inlineStr">
        <is>
          <t>Financeiro</t>
        </is>
      </c>
      <c r="G10" s="10" t="inlineStr">
        <is>
          <t>Cliente Alfa</t>
        </is>
      </c>
      <c r="H10" s="10" t="inlineStr">
        <is>
          <t>Brasília/DF</t>
        </is>
      </c>
      <c r="I10" s="10" t="inlineStr">
        <is>
          <t>Transporte</t>
        </is>
      </c>
      <c r="J10" s="10" t="inlineStr">
        <is>
          <t>Cartão corporativo</t>
        </is>
      </c>
      <c r="K10" s="10" t="inlineStr">
        <is>
          <t>Sim</t>
        </is>
      </c>
      <c r="L10" s="10" t="inlineStr">
        <is>
          <t>NF-0007891</t>
        </is>
      </c>
      <c r="M10" s="10" t="inlineStr">
        <is>
          <t>99.123.456/0001-11</t>
        </is>
      </c>
      <c r="N10" s="10" t="inlineStr">
        <is>
          <t>Latam Airlines</t>
        </is>
      </c>
      <c r="O10" s="10" t="inlineStr">
        <is>
          <t>Passagem aérea BSB-GRU</t>
        </is>
      </c>
      <c r="P10" s="11" t="n">
        <v>187.3</v>
      </c>
      <c r="Q10" s="12">
        <f>IFERROR(VLOOKUP(I10,Tabelas!$A:$D,2,FALSE),"")</f>
        <v/>
      </c>
      <c r="R10" s="3">
        <f>IF(P10&gt;Q10,"Sim","Não")</f>
        <v/>
      </c>
      <c r="S10" s="5">
        <f>IFERROR(VLOOKUP(I10,Tabelas!$A:$D,3,FALSE),"")</f>
        <v/>
      </c>
      <c r="T10" s="12">
        <f>IF(AND(P10&gt;0,Q10&gt;0),MIN(P10,Q10)*S10,"")</f>
        <v/>
      </c>
      <c r="U10" s="10" t="inlineStr">
        <is>
          <t>Pago</t>
        </is>
      </c>
      <c r="V10" s="10" t="inlineStr">
        <is>
          <t>10/04/2026</t>
        </is>
      </c>
      <c r="W10" s="3">
        <f>IF(U10="Pago",IF(AND(V10&lt;&gt;"",C10&lt;&gt;""),V10-C10,""),"")</f>
        <v/>
      </c>
      <c r="X10" s="10" t="inlineStr"/>
      <c r="Y10" s="3">
        <f>IF(B10&lt;&gt;"",TEXT(DATEVALUE(B10),"mm/yyyy"),"")</f>
        <v/>
      </c>
    </row>
    <row r="11">
      <c r="A11" s="6" t="n">
        <v>1010</v>
      </c>
      <c r="B11" s="10" t="inlineStr">
        <is>
          <t>10/04/2026</t>
        </is>
      </c>
      <c r="C11" s="10" t="inlineStr">
        <is>
          <t>12/04/2026</t>
        </is>
      </c>
      <c r="D11" s="10" t="inlineStr">
        <is>
          <t>Marcos Vinícius Santos</t>
        </is>
      </c>
      <c r="E11" s="10" t="inlineStr">
        <is>
          <t>789.012.345-99</t>
        </is>
      </c>
      <c r="F11" s="10" t="inlineStr">
        <is>
          <t>Marketing</t>
        </is>
      </c>
      <c r="G11" s="10" t="inlineStr">
        <is>
          <t>Projeto Interno</t>
        </is>
      </c>
      <c r="H11" s="10" t="inlineStr">
        <is>
          <t>Florianópolis/SC</t>
        </is>
      </c>
      <c r="I11" s="10" t="inlineStr">
        <is>
          <t>Combustível</t>
        </is>
      </c>
      <c r="J11" s="10" t="inlineStr">
        <is>
          <t>PIX</t>
        </is>
      </c>
      <c r="K11" s="10" t="inlineStr">
        <is>
          <t>Sim</t>
        </is>
      </c>
      <c r="L11" s="10" t="inlineStr">
        <is>
          <t>NF-0006543</t>
        </is>
      </c>
      <c r="M11" s="10" t="inlineStr">
        <is>
          <t>11.234.567/0001-00</t>
        </is>
      </c>
      <c r="N11" s="10" t="inlineStr">
        <is>
          <t>Posto Shell Floripa</t>
        </is>
      </c>
      <c r="O11" s="10" t="inlineStr">
        <is>
          <t>Combustível visita técnica</t>
        </is>
      </c>
      <c r="P11" s="11" t="n">
        <v>198.6</v>
      </c>
      <c r="Q11" s="13">
        <f>IFERROR(VLOOKUP(I11,Tabelas!$A:$D,2,FALSE),"")</f>
        <v/>
      </c>
      <c r="R11" s="6">
        <f>IF(P11&gt;Q11,"Sim","Não")</f>
        <v/>
      </c>
      <c r="S11" s="8">
        <f>IFERROR(VLOOKUP(I11,Tabelas!$A:$D,3,FALSE),"")</f>
        <v/>
      </c>
      <c r="T11" s="13">
        <f>IF(AND(P11&gt;0,Q11&gt;0),MIN(P11,Q11)*S11,"")</f>
        <v/>
      </c>
      <c r="U11" s="10" t="inlineStr">
        <is>
          <t>Em análise</t>
        </is>
      </c>
      <c r="V11" s="10" t="inlineStr"/>
      <c r="W11" s="6">
        <f>IF(U11="Pago",IF(AND(V11&lt;&gt;"",C11&lt;&gt;""),V11-C11,""),"")</f>
        <v/>
      </c>
      <c r="X11" s="10" t="inlineStr"/>
      <c r="Y11" s="6">
        <f>IF(B11&lt;&gt;"",TEXT(DATEVALUE(B11),"mm/yyyy"),"")</f>
        <v/>
      </c>
    </row>
    <row r="12">
      <c r="O12" s="2" t="inlineStr">
        <is>
          <t>TOTAIS</t>
        </is>
      </c>
      <c r="P12" s="14">
        <f>SUM(P2:P11)</f>
        <v/>
      </c>
      <c r="T12" s="14">
        <f>SUM(T2:T11)</f>
        <v/>
      </c>
    </row>
  </sheetData>
  <conditionalFormatting sqref="R2:R11">
    <cfRule type="expression" priority="1" dxfId="0" stopIfTrue="1">
      <formula>$R2="Sim"</formula>
    </cfRule>
  </conditionalFormatting>
  <conditionalFormatting sqref="K2:K11">
    <cfRule type="expression" priority="2" dxfId="0" stopIfTrue="1">
      <formula>$K2="Não"</formula>
    </cfRule>
  </conditionalFormatting>
  <conditionalFormatting sqref="U2:U11">
    <cfRule type="expression" priority="3" dxfId="1" stopIfTrue="1">
      <formula>$U2="Pago"</formula>
    </cfRule>
  </conditionalFormatting>
  <dataValidations count="6">
    <dataValidation sqref="I2:I100" showErrorMessage="1" showInputMessage="1" allowBlank="1" type="list">
      <formula1>=Tabelas!$A$2:$A$8</formula1>
    </dataValidation>
    <dataValidation sqref="J2:J100" showErrorMessage="1" showInputMessage="1" allowBlank="1" type="list">
      <formula1>=Tabelas!$G$2:$G$5</formula1>
    </dataValidation>
    <dataValidation sqref="K2:K100" showErrorMessage="1" showInputMessage="1" allowBlank="1" type="list">
      <formula1>=Tabelas!$J$2:$J$3</formula1>
    </dataValidation>
    <dataValidation sqref="U2:U100" showErrorMessage="1" showInputMessage="1" allowBlank="1" type="list">
      <formula1>=Tabelas!$F$2:$F$5</formula1>
    </dataValidation>
    <dataValidation sqref="F2:F100" showErrorMessage="1" showInputMessage="1" allowBlank="1" type="list">
      <formula1>=Tabelas!$H$2:$H$6</formula1>
    </dataValidation>
    <dataValidation sqref="G2:G100" showErrorMessage="1" showInputMessage="1" allowBlank="1" type="list">
      <formula1>=Tabelas!$I$2:$I$5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F4C45"/>
    <outlinePr summaryBelow="1" summaryRight="1"/>
    <pageSetUpPr/>
  </sheetPr>
  <dimension ref="A1:L19"/>
  <sheetViews>
    <sheetView zoomScale="9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6" customWidth="1" min="3" max="3"/>
    <col width="12" customWidth="1" min="4" max="4"/>
    <col width="4" customWidth="1" min="5" max="5"/>
    <col width="16" customWidth="1" min="6" max="6"/>
    <col width="8" customWidth="1" min="7" max="7"/>
    <col width="18" customWidth="1" min="8" max="8"/>
    <col width="18" customWidth="1" min="9" max="9"/>
    <col width="16" customWidth="1" min="10" max="10"/>
    <col width="4" customWidth="1" min="11" max="11"/>
    <col width="12" customWidth="1" min="12" max="12"/>
  </cols>
  <sheetData>
    <row r="1" ht="40" customHeight="1">
      <c r="A1" s="15" t="inlineStr">
        <is>
          <t>📊  DASHBOARD DE REEMBOLSO DE DESPESAS</t>
        </is>
      </c>
    </row>
    <row r="2" ht="24" customHeight="1">
      <c r="A2" s="16" t="inlineStr">
        <is>
          <t>Consolidado por Categoria | Status | Colaborador</t>
        </is>
      </c>
    </row>
    <row r="4">
      <c r="A4" s="1" t="inlineStr">
        <is>
          <t>MÉTRICAS GERAIS</t>
        </is>
      </c>
      <c r="F4" s="1" t="inlineStr">
        <is>
          <t>TOTAL POR CATEGORIA</t>
        </is>
      </c>
    </row>
    <row r="5">
      <c r="A5" s="17" t="inlineStr">
        <is>
          <t>Total de Despesas</t>
        </is>
      </c>
      <c r="B5" s="6">
        <f>COUNTA(Despesas!A2:A11)</f>
        <v/>
      </c>
      <c r="F5" s="2" t="inlineStr">
        <is>
          <t>Categoria</t>
        </is>
      </c>
      <c r="G5" s="2" t="inlineStr">
        <is>
          <t>Qtd.</t>
        </is>
      </c>
      <c r="H5" s="2" t="inlineStr">
        <is>
          <t>Total Solicitado</t>
        </is>
      </c>
      <c r="I5" s="2" t="inlineStr">
        <is>
          <t>Total Reembolsável</t>
        </is>
      </c>
      <c r="J5" s="2" t="inlineStr">
        <is>
          <t>Média</t>
        </is>
      </c>
    </row>
    <row r="6">
      <c r="A6" s="17" t="inlineStr">
        <is>
          <t>Total Solicitado (R$)</t>
        </is>
      </c>
      <c r="B6" s="13">
        <f>SUM(Despesas!P2:P11)</f>
        <v/>
      </c>
      <c r="F6" s="3" t="inlineStr">
        <is>
          <t>Alimentação</t>
        </is>
      </c>
      <c r="G6" s="3">
        <f>COUNTIF(Despesas!$I$2:$I$11,F6)</f>
        <v/>
      </c>
      <c r="H6" s="12">
        <f>SUMIF(Despesas!$I$2:$I$11,F6,Despesas!$P$2:$P$11)</f>
        <v/>
      </c>
      <c r="I6" s="12">
        <f>SUMIF(Despesas!$I$2:$I$11,F6,Despesas!$T$2:$T$11)</f>
        <v/>
      </c>
      <c r="J6" s="12">
        <f>IFERROR(H6/G6,0)</f>
        <v/>
      </c>
    </row>
    <row r="7">
      <c r="A7" s="17" t="inlineStr">
        <is>
          <t>Total Reembolsável (R$)</t>
        </is>
      </c>
      <c r="B7" s="13">
        <f>SUMPRODUCT((Despesas!T2:T11)*ISNUMBER(Despesas!T2:T11))</f>
        <v/>
      </c>
      <c r="F7" s="6" t="inlineStr">
        <is>
          <t>Transporte</t>
        </is>
      </c>
      <c r="G7" s="6">
        <f>COUNTIF(Despesas!$I$2:$I$11,F7)</f>
        <v/>
      </c>
      <c r="H7" s="13">
        <f>SUMIF(Despesas!$I$2:$I$11,F7,Despesas!$P$2:$P$11)</f>
        <v/>
      </c>
      <c r="I7" s="13">
        <f>SUMIF(Despesas!$I$2:$I$11,F7,Despesas!$T$2:$T$11)</f>
        <v/>
      </c>
      <c r="J7" s="13">
        <f>IFERROR(H7/G7,0)</f>
        <v/>
      </c>
    </row>
    <row r="8">
      <c r="A8" s="17" t="inlineStr">
        <is>
          <t>Aprovados/Pagos</t>
        </is>
      </c>
      <c r="B8" s="6">
        <f>COUNTIF(Despesas!U2:U11,"Aprovado")+COUNTIF(Despesas!U2:U11,"Pago")</f>
        <v/>
      </c>
      <c r="F8" s="3" t="inlineStr">
        <is>
          <t>Hospedagem</t>
        </is>
      </c>
      <c r="G8" s="3">
        <f>COUNTIF(Despesas!$I$2:$I$11,F8)</f>
        <v/>
      </c>
      <c r="H8" s="12">
        <f>SUMIF(Despesas!$I$2:$I$11,F8,Despesas!$P$2:$P$11)</f>
        <v/>
      </c>
      <c r="I8" s="12">
        <f>SUMIF(Despesas!$I$2:$I$11,F8,Despesas!$T$2:$T$11)</f>
        <v/>
      </c>
      <c r="J8" s="12">
        <f>IFERROR(H8/G8,0)</f>
        <v/>
      </c>
    </row>
    <row r="9">
      <c r="A9" s="17" t="inlineStr">
        <is>
          <t>Reprovados</t>
        </is>
      </c>
      <c r="B9" s="6">
        <f>COUNTIF(Despesas!U2:U11,"Reprovado")</f>
        <v/>
      </c>
      <c r="F9" s="6" t="inlineStr">
        <is>
          <t>Combustível</t>
        </is>
      </c>
      <c r="G9" s="6">
        <f>COUNTIF(Despesas!$I$2:$I$11,F9)</f>
        <v/>
      </c>
      <c r="H9" s="13">
        <f>SUMIF(Despesas!$I$2:$I$11,F9,Despesas!$P$2:$P$11)</f>
        <v/>
      </c>
      <c r="I9" s="13">
        <f>SUMIF(Despesas!$I$2:$I$11,F9,Despesas!$T$2:$T$11)</f>
        <v/>
      </c>
      <c r="J9" s="13">
        <f>IFERROR(H9/G9,0)</f>
        <v/>
      </c>
    </row>
    <row r="10">
      <c r="A10" s="17" t="inlineStr">
        <is>
          <t>Em Análise</t>
        </is>
      </c>
      <c r="B10" s="6">
        <f>COUNTIF(Despesas!U2:U11,"Em análise")</f>
        <v/>
      </c>
      <c r="F10" s="3" t="inlineStr">
        <is>
          <t>Pedágio</t>
        </is>
      </c>
      <c r="G10" s="3">
        <f>COUNTIF(Despesas!$I$2:$I$11,F10)</f>
        <v/>
      </c>
      <c r="H10" s="12">
        <f>SUMIF(Despesas!$I$2:$I$11,F10,Despesas!$P$2:$P$11)</f>
        <v/>
      </c>
      <c r="I10" s="12">
        <f>SUMIF(Despesas!$I$2:$I$11,F10,Despesas!$T$2:$T$11)</f>
        <v/>
      </c>
      <c r="J10" s="12">
        <f>IFERROR(H10/G10,0)</f>
        <v/>
      </c>
    </row>
    <row r="11">
      <c r="A11" s="17" t="inlineStr">
        <is>
          <t>Excedem Limite</t>
        </is>
      </c>
      <c r="B11" s="6">
        <f>COUNTIF(Despesas!R2:R11,"Sim")</f>
        <v/>
      </c>
      <c r="F11" s="6" t="inlineStr">
        <is>
          <t>Material</t>
        </is>
      </c>
      <c r="G11" s="6">
        <f>COUNTIF(Despesas!$I$2:$I$11,F11)</f>
        <v/>
      </c>
      <c r="H11" s="13">
        <f>SUMIF(Despesas!$I$2:$I$11,F11,Despesas!$P$2:$P$11)</f>
        <v/>
      </c>
      <c r="I11" s="13">
        <f>SUMIF(Despesas!$I$2:$I$11,F11,Despesas!$T$2:$T$11)</f>
        <v/>
      </c>
      <c r="J11" s="13">
        <f>IFERROR(H11/G11,0)</f>
        <v/>
      </c>
    </row>
    <row r="12">
      <c r="A12" s="17" t="inlineStr">
        <is>
          <t>Sem NF</t>
        </is>
      </c>
      <c r="B12" s="6">
        <f>COUNTIF(Despesas!K2:K11,"Não")</f>
        <v/>
      </c>
      <c r="F12" s="3" t="inlineStr">
        <is>
          <t>Outros</t>
        </is>
      </c>
      <c r="G12" s="3">
        <f>COUNTIF(Despesas!$I$2:$I$11,F12)</f>
        <v/>
      </c>
      <c r="H12" s="12">
        <f>SUMIF(Despesas!$I$2:$I$11,F12,Despesas!$P$2:$P$11)</f>
        <v/>
      </c>
      <c r="I12" s="12">
        <f>SUMIF(Despesas!$I$2:$I$11,F12,Despesas!$T$2:$T$11)</f>
        <v/>
      </c>
      <c r="J12" s="12">
        <f>IFERROR(H12/G12,0)</f>
        <v/>
      </c>
    </row>
    <row r="14">
      <c r="A14" s="1" t="inlineStr">
        <is>
          <t>TOTAL POR STATUS</t>
        </is>
      </c>
    </row>
    <row r="15">
      <c r="A15" s="2" t="inlineStr">
        <is>
          <t>Status</t>
        </is>
      </c>
      <c r="B15" s="2" t="inlineStr">
        <is>
          <t>Qtd.</t>
        </is>
      </c>
      <c r="C15" s="2" t="inlineStr">
        <is>
          <t>Total (R$)</t>
        </is>
      </c>
      <c r="D15" s="2" t="inlineStr">
        <is>
          <t>% do Total</t>
        </is>
      </c>
    </row>
    <row r="16">
      <c r="A16" s="3" t="inlineStr">
        <is>
          <t>Em análise</t>
        </is>
      </c>
      <c r="B16" s="3">
        <f>COUNTIF(Despesas!$U$2:$U$11,A16)</f>
        <v/>
      </c>
      <c r="C16" s="12">
        <f>SUMIF(Despesas!$U$2:$U$11,A16,Despesas!$P$2:$P$11)</f>
        <v/>
      </c>
      <c r="D16" s="18">
        <f>IFERROR(C16/SUM($C$16:$C$19),0)</f>
        <v/>
      </c>
    </row>
    <row r="17">
      <c r="A17" s="6" t="inlineStr">
        <is>
          <t>Aprovado</t>
        </is>
      </c>
      <c r="B17" s="6">
        <f>COUNTIF(Despesas!$U$2:$U$11,A17)</f>
        <v/>
      </c>
      <c r="C17" s="13">
        <f>SUMIF(Despesas!$U$2:$U$11,A17,Despesas!$P$2:$P$11)</f>
        <v/>
      </c>
      <c r="D17" s="19">
        <f>IFERROR(C17/SUM($C$16:$C$19),0)</f>
        <v/>
      </c>
    </row>
    <row r="18">
      <c r="A18" s="3" t="inlineStr">
        <is>
          <t>Reprovado</t>
        </is>
      </c>
      <c r="B18" s="3">
        <f>COUNTIF(Despesas!$U$2:$U$11,A18)</f>
        <v/>
      </c>
      <c r="C18" s="12">
        <f>SUMIF(Despesas!$U$2:$U$11,A18,Despesas!$P$2:$P$11)</f>
        <v/>
      </c>
      <c r="D18" s="18">
        <f>IFERROR(C18/SUM($C$16:$C$19),0)</f>
        <v/>
      </c>
    </row>
    <row r="19">
      <c r="A19" s="6" t="inlineStr">
        <is>
          <t>Pago</t>
        </is>
      </c>
      <c r="B19" s="6">
        <f>COUNTIF(Despesas!$U$2:$U$11,A19)</f>
        <v/>
      </c>
      <c r="C19" s="13">
        <f>SUMIF(Despesas!$U$2:$U$11,A19,Despesas!$P$2:$P$11)</f>
        <v/>
      </c>
      <c r="D19" s="19">
        <f>IFERROR(C19/SUM($C$16:$C$19),0)</f>
        <v/>
      </c>
    </row>
  </sheetData>
  <mergeCells count="5">
    <mergeCell ref="A1:L1"/>
    <mergeCell ref="A2:L2"/>
    <mergeCell ref="A4:D4"/>
    <mergeCell ref="F4:J4"/>
    <mergeCell ref="A14:D1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6B7280"/>
    <outlinePr summaryBelow="1" summaryRight="1"/>
    <pageSetUpPr/>
  </sheetPr>
  <dimension ref="A1:F40"/>
  <sheetViews>
    <sheetView zoomScale="95" workbookViewId="0">
      <selection activeCell="A1" sqref="A1"/>
    </sheetView>
  </sheetViews>
  <sheetFormatPr baseColWidth="8" defaultRowHeight="15"/>
  <cols>
    <col width="24" customWidth="1" min="1" max="1"/>
    <col width="80" customWidth="1" min="2" max="2"/>
    <col width="8" customWidth="1" min="3" max="3"/>
    <col width="8" customWidth="1" min="4" max="4"/>
    <col width="8" customWidth="1" min="5" max="5"/>
    <col width="8" customWidth="1" min="6" max="6"/>
  </cols>
  <sheetData>
    <row r="1" ht="36" customHeight="1">
      <c r="A1" s="20" t="inlineStr">
        <is>
          <t>GUIA DE USO — PLANILHA DE REEMBOLSO DE DESPESAS</t>
        </is>
      </c>
    </row>
    <row r="2">
      <c r="A2" t="inlineStr"/>
      <c r="B2" t="inlineStr"/>
    </row>
    <row r="3">
      <c r="A3" s="21" t="inlineStr">
        <is>
          <t>ABA: DESPESAS</t>
        </is>
      </c>
    </row>
    <row r="4">
      <c r="A4" s="1" t="inlineStr">
        <is>
          <t>Coluna</t>
        </is>
      </c>
      <c r="B4" s="1" t="inlineStr">
        <is>
          <t>Descrição</t>
        </is>
      </c>
      <c r="C4" s="22" t="n"/>
      <c r="D4" s="22" t="n"/>
      <c r="E4" s="22" t="n"/>
      <c r="F4" s="23" t="n"/>
    </row>
    <row r="5">
      <c r="A5" s="24" t="inlineStr">
        <is>
          <t>ID</t>
        </is>
      </c>
      <c r="B5" s="25" t="inlineStr">
        <is>
          <t>Identificador único do lançamento (preenchido automaticamente pelo usuário)</t>
        </is>
      </c>
      <c r="C5" s="22" t="n"/>
      <c r="D5" s="22" t="n"/>
      <c r="E5" s="22" t="n"/>
      <c r="F5" s="23" t="n"/>
    </row>
    <row r="6">
      <c r="A6" s="17" t="inlineStr">
        <is>
          <t>Data da Despesa</t>
        </is>
      </c>
      <c r="B6" s="26" t="inlineStr">
        <is>
          <t>Data em que a despesa ocorreu (DD/MM/AAAA). Obrigatório.</t>
        </is>
      </c>
      <c r="C6" s="22" t="n"/>
      <c r="D6" s="22" t="n"/>
      <c r="E6" s="22" t="n"/>
      <c r="F6" s="23" t="n"/>
    </row>
    <row r="7">
      <c r="A7" s="24" t="inlineStr">
        <is>
          <t>Data de Solicitação</t>
        </is>
      </c>
      <c r="B7" s="25" t="inlineStr">
        <is>
          <t>Data em que o colaborador abriu o reembolso. Obrigatório.</t>
        </is>
      </c>
      <c r="C7" s="22" t="n"/>
      <c r="D7" s="22" t="n"/>
      <c r="E7" s="22" t="n"/>
      <c r="F7" s="23" t="n"/>
    </row>
    <row r="8">
      <c r="A8" s="17" t="inlineStr">
        <is>
          <t>Colaborador</t>
        </is>
      </c>
      <c r="B8" s="26" t="inlineStr">
        <is>
          <t>Nome completo do funcionário responsável pela despesa.</t>
        </is>
      </c>
      <c r="C8" s="22" t="n"/>
      <c r="D8" s="22" t="n"/>
      <c r="E8" s="22" t="n"/>
      <c r="F8" s="23" t="n"/>
    </row>
    <row r="9">
      <c r="A9" s="24" t="inlineStr">
        <is>
          <t>CPF</t>
        </is>
      </c>
      <c r="B9" s="25" t="inlineStr">
        <is>
          <t>CPF do colaborador no formato 000.000.000-00.</t>
        </is>
      </c>
      <c r="C9" s="22" t="n"/>
      <c r="D9" s="22" t="n"/>
      <c r="E9" s="22" t="n"/>
      <c r="F9" s="23" t="n"/>
    </row>
    <row r="10">
      <c r="A10" s="17" t="inlineStr">
        <is>
          <t>Centro de Custo</t>
        </is>
      </c>
      <c r="B10" s="26" t="inlineStr">
        <is>
          <t>Selecione na lista: Comercial, Operações, TI, Financeiro, Marketing.</t>
        </is>
      </c>
      <c r="C10" s="22" t="n"/>
      <c r="D10" s="22" t="n"/>
      <c r="E10" s="22" t="n"/>
      <c r="F10" s="23" t="n"/>
    </row>
    <row r="11">
      <c r="A11" s="24" t="inlineStr">
        <is>
          <t>Projeto/Cliente</t>
        </is>
      </c>
      <c r="B11" s="25" t="inlineStr">
        <is>
          <t>Selecione na lista: Cliente Alfa, Cliente Beta, Projeto Interno, Expansão Sul.</t>
        </is>
      </c>
      <c r="C11" s="22" t="n"/>
      <c r="D11" s="22" t="n"/>
      <c r="E11" s="22" t="n"/>
      <c r="F11" s="23" t="n"/>
    </row>
    <row r="12">
      <c r="A12" s="17" t="inlineStr">
        <is>
          <t>Cidade</t>
        </is>
      </c>
      <c r="B12" s="26" t="inlineStr">
        <is>
          <t>Cidade onde a despesa foi realizada.</t>
        </is>
      </c>
      <c r="C12" s="22" t="n"/>
      <c r="D12" s="22" t="n"/>
      <c r="E12" s="22" t="n"/>
      <c r="F12" s="23" t="n"/>
    </row>
    <row r="13">
      <c r="A13" s="24" t="inlineStr">
        <is>
          <t>Categoria</t>
        </is>
      </c>
      <c r="B13" s="25" t="inlineStr">
        <is>
          <t>Tipo da despesa. Selecionar pela lista suspensa (valida contra aba Tabelas).</t>
        </is>
      </c>
      <c r="C13" s="22" t="n"/>
      <c r="D13" s="22" t="n"/>
      <c r="E13" s="22" t="n"/>
      <c r="F13" s="23" t="n"/>
    </row>
    <row r="14">
      <c r="A14" s="17" t="inlineStr">
        <is>
          <t>Forma de Pagamento</t>
        </is>
      </c>
      <c r="B14" s="26" t="inlineStr">
        <is>
          <t>Como a despesa foi paga. Selecionar da lista suspensa.</t>
        </is>
      </c>
      <c r="C14" s="22" t="n"/>
      <c r="D14" s="22" t="n"/>
      <c r="E14" s="22" t="n"/>
      <c r="F14" s="23" t="n"/>
    </row>
    <row r="15">
      <c r="A15" s="24" t="inlineStr">
        <is>
          <t>Possui NF?</t>
        </is>
      </c>
      <c r="B15" s="25" t="inlineStr">
        <is>
          <t>Informe Sim ou Não. Se 'Não', linha ficará destacada em vermelho (alerta).</t>
        </is>
      </c>
      <c r="C15" s="22" t="n"/>
      <c r="D15" s="22" t="n"/>
      <c r="E15" s="22" t="n"/>
      <c r="F15" s="23" t="n"/>
    </row>
    <row r="16">
      <c r="A16" s="17" t="inlineStr">
        <is>
          <t>Nº NF/Recibo</t>
        </is>
      </c>
      <c r="B16" s="26" t="inlineStr">
        <is>
          <t>Número da nota fiscal ou recibo comprobatório.</t>
        </is>
      </c>
      <c r="C16" s="22" t="n"/>
      <c r="D16" s="22" t="n"/>
      <c r="E16" s="22" t="n"/>
      <c r="F16" s="23" t="n"/>
    </row>
    <row r="17">
      <c r="A17" s="24" t="inlineStr">
        <is>
          <t>CNPJ Fornecedor</t>
        </is>
      </c>
      <c r="B17" s="25" t="inlineStr">
        <is>
          <t>CNPJ do fornecedor no formato 00.000.000/0000-00.</t>
        </is>
      </c>
      <c r="C17" s="22" t="n"/>
      <c r="D17" s="22" t="n"/>
      <c r="E17" s="22" t="n"/>
      <c r="F17" s="23" t="n"/>
    </row>
    <row r="18">
      <c r="A18" s="17" t="inlineStr">
        <is>
          <t>Fornecedor</t>
        </is>
      </c>
      <c r="B18" s="26" t="inlineStr">
        <is>
          <t>Nome do fornecedor/prestador de serviço.</t>
        </is>
      </c>
      <c r="C18" s="22" t="n"/>
      <c r="D18" s="22" t="n"/>
      <c r="E18" s="22" t="n"/>
      <c r="F18" s="23" t="n"/>
    </row>
    <row r="19">
      <c r="A19" s="24" t="inlineStr">
        <is>
          <t>Descrição</t>
        </is>
      </c>
      <c r="B19" s="25" t="inlineStr">
        <is>
          <t>Descrição detalhada da despesa para fins de auditoria.</t>
        </is>
      </c>
      <c r="C19" s="22" t="n"/>
      <c r="D19" s="22" t="n"/>
      <c r="E19" s="22" t="n"/>
      <c r="F19" s="23" t="n"/>
    </row>
    <row r="20">
      <c r="A20" s="17" t="inlineStr">
        <is>
          <t>Valor (R$)</t>
        </is>
      </c>
      <c r="B20" s="26" t="inlineStr">
        <is>
          <t>Valor total pago. Célula de input — fundo amarelo claro.</t>
        </is>
      </c>
      <c r="C20" s="22" t="n"/>
      <c r="D20" s="22" t="n"/>
      <c r="E20" s="22" t="n"/>
      <c r="F20" s="23" t="n"/>
    </row>
    <row r="21">
      <c r="A21" s="24" t="inlineStr">
        <is>
          <t>Limite por Cat. (R$)</t>
        </is>
      </c>
      <c r="B21" s="25" t="inlineStr">
        <is>
          <t>Preenchido automaticamente via PROCV com base na Categoria e aba Tabelas.</t>
        </is>
      </c>
      <c r="C21" s="22" t="n"/>
      <c r="D21" s="22" t="n"/>
      <c r="E21" s="22" t="n"/>
      <c r="F21" s="23" t="n"/>
    </row>
    <row r="22">
      <c r="A22" s="17" t="inlineStr">
        <is>
          <t>Excede Limite?</t>
        </is>
      </c>
      <c r="B22" s="26" t="inlineStr">
        <is>
          <t>Calculado automaticamente: 'Sim' se Valor &gt; Limite. Destaque vermelho.</t>
        </is>
      </c>
      <c r="C22" s="22" t="n"/>
      <c r="D22" s="22" t="n"/>
      <c r="E22" s="22" t="n"/>
      <c r="F22" s="23" t="n"/>
    </row>
    <row r="23">
      <c r="A23" s="24" t="inlineStr">
        <is>
          <t>% Reembolsável</t>
        </is>
      </c>
      <c r="B23" s="25" t="inlineStr">
        <is>
          <t>Percentual de reembolso conforme política da categoria (aba Tabelas).</t>
        </is>
      </c>
      <c r="C23" s="22" t="n"/>
      <c r="D23" s="22" t="n"/>
      <c r="E23" s="22" t="n"/>
      <c r="F23" s="23" t="n"/>
    </row>
    <row r="24">
      <c r="A24" s="17" t="inlineStr">
        <is>
          <t>Valor Reembolsável</t>
        </is>
      </c>
      <c r="B24" s="26" t="inlineStr">
        <is>
          <t>Calculado: MIN(Valor, Limite) × % Reembolsável.</t>
        </is>
      </c>
      <c r="C24" s="22" t="n"/>
      <c r="D24" s="22" t="n"/>
      <c r="E24" s="22" t="n"/>
      <c r="F24" s="23" t="n"/>
    </row>
    <row r="25">
      <c r="A25" s="24" t="inlineStr">
        <is>
          <t>Status</t>
        </is>
      </c>
      <c r="B25" s="25" t="inlineStr">
        <is>
          <t>Status do reembolso. Selecionar da lista. 'Pago' destaca linha em verde.</t>
        </is>
      </c>
      <c r="C25" s="22" t="n"/>
      <c r="D25" s="22" t="n"/>
      <c r="E25" s="22" t="n"/>
      <c r="F25" s="23" t="n"/>
    </row>
    <row r="26">
      <c r="A26" s="17" t="inlineStr">
        <is>
          <t>Data do Pagamento</t>
        </is>
      </c>
      <c r="B26" s="26" t="inlineStr">
        <is>
          <t>Preencher quando Status = 'Pago'.</t>
        </is>
      </c>
      <c r="C26" s="22" t="n"/>
      <c r="D26" s="22" t="n"/>
      <c r="E26" s="22" t="n"/>
      <c r="F26" s="23" t="n"/>
    </row>
    <row r="27">
      <c r="A27" s="24" t="inlineStr">
        <is>
          <t>Dias até Pgto</t>
        </is>
      </c>
      <c r="B27" s="25" t="inlineStr">
        <is>
          <t>Calculado automaticamente: Data Pagamento − Data Solicitação.</t>
        </is>
      </c>
      <c r="C27" s="22" t="n"/>
      <c r="D27" s="22" t="n"/>
      <c r="E27" s="22" t="n"/>
      <c r="F27" s="23" t="n"/>
    </row>
    <row r="28">
      <c r="A28" s="17" t="inlineStr">
        <is>
          <t>Observações</t>
        </is>
      </c>
      <c r="B28" s="26" t="inlineStr">
        <is>
          <t>Campo livre para notas adicionais.</t>
        </is>
      </c>
      <c r="C28" s="22" t="n"/>
      <c r="D28" s="22" t="n"/>
      <c r="E28" s="22" t="n"/>
      <c r="F28" s="23" t="n"/>
    </row>
    <row r="29">
      <c r="A29" s="24" t="inlineStr">
        <is>
          <t>Mês/Ano</t>
        </is>
      </c>
      <c r="B29" s="25" t="inlineStr">
        <is>
          <t>Extraído automaticamente da Data da Despesa (formato mm/aaaa).</t>
        </is>
      </c>
      <c r="C29" s="22" t="n"/>
      <c r="D29" s="22" t="n"/>
      <c r="E29" s="22" t="n"/>
      <c r="F29" s="23" t="n"/>
    </row>
    <row r="30">
      <c r="A30" t="inlineStr"/>
      <c r="B30" t="inlineStr"/>
    </row>
    <row r="31">
      <c r="A31" s="21" t="inlineStr">
        <is>
          <t>ABA: TABELAS</t>
        </is>
      </c>
    </row>
    <row r="32">
      <c r="A32" s="17" t="inlineStr">
        <is>
          <t>Colunas A:D</t>
        </is>
      </c>
      <c r="B32" s="26" t="inlineStr">
        <is>
          <t>Políticas por categoria: limite (R$), % reembolsável, se exige NF.</t>
        </is>
      </c>
      <c r="C32" s="22" t="n"/>
      <c r="D32" s="22" t="n"/>
      <c r="E32" s="22" t="n"/>
      <c r="F32" s="23" t="n"/>
    </row>
    <row r="33">
      <c r="A33" s="24" t="inlineStr">
        <is>
          <t>Colunas F:K</t>
        </is>
      </c>
      <c r="B33" s="25" t="inlineStr">
        <is>
          <t>Listas para validações: Status, Forma de pgto, Centro de custo, Projeto, NF, Categoria.</t>
        </is>
      </c>
      <c r="C33" s="22" t="n"/>
      <c r="D33" s="22" t="n"/>
      <c r="E33" s="22" t="n"/>
      <c r="F33" s="23" t="n"/>
    </row>
    <row r="34">
      <c r="A34" s="27" t="inlineStr">
        <is>
          <t>IMPORTANTE</t>
        </is>
      </c>
      <c r="B34" s="28" t="inlineStr">
        <is>
          <t>Não alterar as colunas A:D sem revisar os VLOOKUPs na aba Despesas.</t>
        </is>
      </c>
      <c r="C34" s="22" t="n"/>
      <c r="D34" s="22" t="n"/>
      <c r="E34" s="22" t="n"/>
      <c r="F34" s="23" t="n"/>
    </row>
    <row r="35">
      <c r="A35" t="inlineStr"/>
      <c r="B35" t="inlineStr"/>
    </row>
    <row r="36">
      <c r="A36" s="21" t="inlineStr">
        <is>
          <t>ABA: DASHBOARD</t>
        </is>
      </c>
    </row>
    <row r="37">
      <c r="A37" s="24" t="inlineStr">
        <is>
          <t>Métricas</t>
        </is>
      </c>
      <c r="B37" s="25" t="inlineStr">
        <is>
          <t>Total de despesas, valores solicitados/reembolsáveis, contagem por status.</t>
        </is>
      </c>
      <c r="C37" s="22" t="n"/>
      <c r="D37" s="22" t="n"/>
      <c r="E37" s="22" t="n"/>
      <c r="F37" s="23" t="n"/>
    </row>
    <row r="38">
      <c r="A38" s="17" t="inlineStr">
        <is>
          <t>Por Categoria</t>
        </is>
      </c>
      <c r="B38" s="26" t="inlineStr">
        <is>
          <t>Qtd., total solicitado, total reembolsável e média por categoria.</t>
        </is>
      </c>
      <c r="C38" s="22" t="n"/>
      <c r="D38" s="22" t="n"/>
      <c r="E38" s="22" t="n"/>
      <c r="F38" s="23" t="n"/>
    </row>
    <row r="39">
      <c r="A39" s="24" t="inlineStr">
        <is>
          <t>Por Status</t>
        </is>
      </c>
      <c r="B39" s="25" t="inlineStr">
        <is>
          <t>Distribuição de lançamentos por status com % do total.</t>
        </is>
      </c>
      <c r="C39" s="22" t="n"/>
      <c r="D39" s="22" t="n"/>
      <c r="E39" s="22" t="n"/>
      <c r="F39" s="23" t="n"/>
    </row>
    <row r="40">
      <c r="A40" s="17" t="inlineStr">
        <is>
          <t>Gráficos</t>
        </is>
      </c>
      <c r="B40" s="26" t="inlineStr">
        <is>
          <t>Atualizados automaticamente ao inserir dados na aba Despesas.</t>
        </is>
      </c>
      <c r="C40" s="22" t="n"/>
      <c r="D40" s="22" t="n"/>
      <c r="E40" s="22" t="n"/>
      <c r="F40" s="23" t="n"/>
    </row>
  </sheetData>
  <mergeCells count="37">
    <mergeCell ref="A1:F1"/>
    <mergeCell ref="A3:F3"/>
    <mergeCell ref="B4:F4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A31:F31"/>
    <mergeCell ref="B32:F32"/>
    <mergeCell ref="B33:F33"/>
    <mergeCell ref="B34:F34"/>
    <mergeCell ref="A36:F36"/>
    <mergeCell ref="B37:F37"/>
    <mergeCell ref="B38:F38"/>
    <mergeCell ref="B39:F39"/>
    <mergeCell ref="B40:F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2026-04-20T10:08:14Z</dcterms:created>
  <dcterms:modified xmlns:dcterms="http://purl.org/dc/terms/" xmlns:xsi="http://www.w3.org/2001/XMLSchema-instance" xsi:type="dcterms:W3CDTF">2026-04-20T10:08:14Z</dcterms:modified>
</cp:coreProperties>
</file>