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s_Fiscais" sheetId="1" state="visible" r:id="rId1"/>
    <sheet xmlns:r="http://schemas.openxmlformats.org/officeDocument/2006/relationships" name="Cadastro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R$ #,##0.0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0F766E"/>
      <sz val="10"/>
    </font>
    <font>
      <name val="Calibri"/>
      <b val="1"/>
      <color rgb="00FFFFFF"/>
      <sz val="16"/>
    </font>
    <font>
      <name val="Calibri"/>
      <color rgb="00FFFFFF"/>
      <sz val="10"/>
    </font>
    <font>
      <name val="Calibri"/>
      <b val="1"/>
      <color rgb="00FFFFFF"/>
      <sz val="13"/>
    </font>
    <font>
      <name val="Calibri"/>
      <b val="1"/>
      <color rgb="00FFFFFF"/>
      <sz val="14"/>
    </font>
    <font>
      <name val="Calibri"/>
      <b val="1"/>
      <color rgb="0092400E"/>
      <sz val="10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6" fontId="2" fillId="5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2" fontId="2" fillId="5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right" vertical="center"/>
    </xf>
    <xf numFmtId="165" fontId="2" fillId="5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5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166" fontId="2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0" fontId="1" fillId="2" borderId="1" pivotButton="0" quotePrefix="0" xfId="0"/>
    <xf numFmtId="166" fontId="1" fillId="2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6" fontId="6" fillId="2" borderId="1" applyAlignment="1" pivotButton="0" quotePrefix="0" xfId="0">
      <alignment horizontal="center" vertical="center" wrapText="1"/>
    </xf>
    <xf numFmtId="166" fontId="6" fillId="6" borderId="1" applyAlignment="1" pivotButton="0" quotePrefix="0" xfId="0">
      <alignment horizontal="center" vertical="center" wrapText="1"/>
    </xf>
    <xf numFmtId="1" fontId="6" fillId="2" borderId="1" applyAlignment="1" pivotButton="0" quotePrefix="0" xfId="0">
      <alignment horizontal="center" vertical="center" wrapText="1"/>
    </xf>
    <xf numFmtId="10" fontId="6" fillId="6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1" fillId="6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  <dxf>
      <font>
        <name val="Calibri"/>
        <b val="1"/>
        <color rgb="00FFFFFF"/>
        <sz val="10"/>
      </font>
      <fill>
        <patternFill patternType="solid">
          <fgColor rgb="0014B8A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Total por Status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'Dashboard'!$A$10:$A$13</f>
            </numRef>
          </cat>
          <val>
            <numRef>
              <f>'Dashboard'!$C$10:$C$13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Emitidas vs Recebidas (R$)</a:t>
            </a:r>
          </a:p>
        </rich>
      </tx>
    </title>
    <plotArea>
      <pieChart>
        <varyColors val="1"/>
        <ser>
          <idx val="0"/>
          <order val="0"/>
          <tx>
            <strRef>
              <f>'Dashboard'!G9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'Dashboard'!$E$10:$E$11</f>
            </numRef>
          </cat>
          <val>
            <numRef>
              <f>'Dashboard'!$G$10:$G$11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15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7" customWidth="1" min="4" max="4"/>
    <col width="12" customWidth="1" min="5" max="5"/>
    <col width="50" customWidth="1" min="6" max="6"/>
    <col width="13" customWidth="1" min="7" max="7"/>
    <col width="12" customWidth="1" min="8" max="8"/>
    <col width="24" customWidth="1" min="9" max="9"/>
    <col width="28" customWidth="1" min="10" max="10"/>
    <col width="16" customWidth="1" min="11" max="11"/>
    <col width="8" customWidth="1" min="12" max="12"/>
    <col width="26" customWidth="1" min="13" max="13"/>
    <col width="32" customWidth="1" min="14" max="14"/>
    <col width="18" customWidth="1" min="15" max="15"/>
    <col width="14" customWidth="1" min="16" max="16"/>
    <col width="18" customWidth="1" min="17" max="17"/>
    <col width="18" customWidth="1" min="18" max="18"/>
    <col width="14" customWidth="1" min="19" max="19"/>
    <col width="14" customWidth="1" min="20" max="20"/>
    <col width="12" customWidth="1" min="21" max="21"/>
    <col width="12" customWidth="1" min="22" max="22"/>
    <col width="12" customWidth="1" min="23" max="23"/>
    <col width="12" customWidth="1" min="24" max="24"/>
    <col width="14" customWidth="1" min="25" max="25"/>
    <col width="14" customWidth="1" min="26" max="26"/>
    <col width="18" customWidth="1" min="27" max="27"/>
    <col width="18" customWidth="1" min="28" max="28"/>
    <col width="14" customWidth="1" min="29" max="29"/>
    <col width="14" customWidth="1" min="30" max="30"/>
    <col width="14" customWidth="1" min="31" max="31"/>
    <col width="14" customWidth="1" min="32" max="32"/>
    <col width="30" customWidth="1" min="33" max="33"/>
  </cols>
  <sheetData>
    <row r="1" ht="40" customHeight="1">
      <c r="A1" s="1" t="inlineStr">
        <is>
          <t>ID</t>
        </is>
      </c>
      <c r="B1" s="1" t="inlineStr">
        <is>
          <t>Tipo</t>
        </is>
      </c>
      <c r="C1" s="1" t="inlineStr">
        <is>
          <t>Modelo</t>
        </is>
      </c>
      <c r="D1" s="1" t="inlineStr">
        <is>
          <t>Série</t>
        </is>
      </c>
      <c r="E1" s="1" t="inlineStr">
        <is>
          <t>Número NF</t>
        </is>
      </c>
      <c r="F1" s="1" t="inlineStr">
        <is>
          <t>Chave de Acesso (44 dígitos)</t>
        </is>
      </c>
      <c r="G1" s="1" t="inlineStr">
        <is>
          <t>Data Emissão</t>
        </is>
      </c>
      <c r="H1" s="1" t="inlineStr">
        <is>
          <t>Competência</t>
        </is>
      </c>
      <c r="I1" s="1" t="inlineStr">
        <is>
          <t>CNPJ/CPF Cliente/Fornecedor</t>
        </is>
      </c>
      <c r="J1" s="1" t="inlineStr">
        <is>
          <t>Razão Social</t>
        </is>
      </c>
      <c r="K1" s="1" t="inlineStr">
        <is>
          <t>Cidade/UF</t>
        </is>
      </c>
      <c r="L1" s="1" t="inlineStr">
        <is>
          <t>CFOP</t>
        </is>
      </c>
      <c r="M1" s="1" t="inlineStr">
        <is>
          <t>Natureza da Operação</t>
        </is>
      </c>
      <c r="N1" s="1" t="inlineStr">
        <is>
          <t>Descrição/Serviço ou Produto</t>
        </is>
      </c>
      <c r="O1" s="1" t="inlineStr">
        <is>
          <t>Valor Prod./Serviços (R$)</t>
        </is>
      </c>
      <c r="P1" s="1" t="inlineStr">
        <is>
          <t>Desconto (R$)</t>
        </is>
      </c>
      <c r="Q1" s="1" t="inlineStr">
        <is>
          <t>Frete/Outras Desp. (R$)</t>
        </is>
      </c>
      <c r="R1" s="1" t="inlineStr">
        <is>
          <t>Base de Cálculo (R$)</t>
        </is>
      </c>
      <c r="S1" s="1" t="inlineStr">
        <is>
          <t>Alíquota ICMS (%)</t>
        </is>
      </c>
      <c r="T1" s="1" t="inlineStr">
        <is>
          <t>Valor ICMS (R$)</t>
        </is>
      </c>
      <c r="U1" s="1" t="inlineStr">
        <is>
          <t>Alíquota ISS (%)</t>
        </is>
      </c>
      <c r="V1" s="1" t="inlineStr">
        <is>
          <t>Valor ISS (R$)</t>
        </is>
      </c>
      <c r="W1" s="1" t="inlineStr">
        <is>
          <t>Alíquota PIS (%)</t>
        </is>
      </c>
      <c r="X1" s="1" t="inlineStr">
        <is>
          <t>Valor PIS (R$)</t>
        </is>
      </c>
      <c r="Y1" s="1" t="inlineStr">
        <is>
          <t>Alíquota COFINS (%)</t>
        </is>
      </c>
      <c r="Z1" s="1" t="inlineStr">
        <is>
          <t>Valor COFINS (R$)</t>
        </is>
      </c>
      <c r="AA1" s="1" t="inlineStr">
        <is>
          <t>Valor Total NF (R$)</t>
        </is>
      </c>
      <c r="AB1" s="1" t="inlineStr">
        <is>
          <t>Forma de Pagamento</t>
        </is>
      </c>
      <c r="AC1" s="1" t="inlineStr">
        <is>
          <t>Data Vencimento</t>
        </is>
      </c>
      <c r="AD1" s="1" t="inlineStr">
        <is>
          <t>Data Pagamento</t>
        </is>
      </c>
      <c r="AE1" s="1" t="inlineStr">
        <is>
          <t>Status</t>
        </is>
      </c>
      <c r="AF1" s="1" t="inlineStr">
        <is>
          <t>Dias em Atraso</t>
        </is>
      </c>
      <c r="AG1" s="1" t="inlineStr">
        <is>
          <t>PDF/Caminho</t>
        </is>
      </c>
    </row>
    <row r="2">
      <c r="A2" s="2" t="n">
        <v>1</v>
      </c>
      <c r="B2" s="2" t="inlineStr">
        <is>
          <t>Emitida</t>
        </is>
      </c>
      <c r="C2" s="2" t="inlineStr">
        <is>
          <t>NF-e 55</t>
        </is>
      </c>
      <c r="D2" s="2" t="inlineStr">
        <is>
          <t>1</t>
        </is>
      </c>
      <c r="E2" s="2" t="inlineStr">
        <is>
          <t>000001</t>
        </is>
      </c>
      <c r="F2" s="2" t="inlineStr">
        <is>
          <t>35240112345678000190550010000001011234567890</t>
        </is>
      </c>
      <c r="G2" s="3" t="n">
        <v>45296</v>
      </c>
      <c r="H2" s="2">
        <f>TEXTO(G2;"mm/aaaa")</f>
        <v/>
      </c>
      <c r="I2" s="4" t="inlineStr">
        <is>
          <t>12.345.678/0001-90</t>
        </is>
      </c>
      <c r="J2" s="5">
        <f>IFERROR(VLOOKUP(I2,Cadastros!$A:$E,2,FALSE),"")</f>
        <v/>
      </c>
      <c r="K2" s="2">
        <f>IFERROR(VLOOKUP(I2,Cadastros!$A:$E,3,FALSE),"")</f>
        <v/>
      </c>
      <c r="L2" s="2" t="inlineStr">
        <is>
          <t>5102</t>
        </is>
      </c>
      <c r="M2" s="5" t="inlineStr">
        <is>
          <t>Venda de Mercadorias</t>
        </is>
      </c>
      <c r="N2" s="5" t="inlineStr">
        <is>
          <t>Notebook Dell Inspiron 15</t>
        </is>
      </c>
      <c r="O2" s="6" t="n">
        <v>8500</v>
      </c>
      <c r="P2" s="6" t="n">
        <v>200</v>
      </c>
      <c r="Q2" s="6" t="n">
        <v>150</v>
      </c>
      <c r="R2" s="7">
        <f>O2-P2+Q2</f>
        <v/>
      </c>
      <c r="S2" s="8" t="n">
        <v>12</v>
      </c>
      <c r="T2" s="7">
        <f>IF(S2=0,0,R2*S2/100)</f>
        <v/>
      </c>
      <c r="U2" s="8" t="n">
        <v>0</v>
      </c>
      <c r="V2" s="7">
        <f>IF(U2=0,0,R2*U2/100)</f>
        <v/>
      </c>
      <c r="W2" s="8" t="n">
        <v>0.65</v>
      </c>
      <c r="X2" s="7">
        <f>IF(W2=0,0,R2*W2/100)</f>
        <v/>
      </c>
      <c r="Y2" s="8" t="n">
        <v>3</v>
      </c>
      <c r="Z2" s="7">
        <f>IF(Y2=0,0,R2*Y2/100)</f>
        <v/>
      </c>
      <c r="AA2" s="9">
        <f>R2+T2+V2+X2+Z2</f>
        <v/>
      </c>
      <c r="AB2" s="2" t="inlineStr">
        <is>
          <t>Boleto</t>
        </is>
      </c>
      <c r="AC2" s="3" t="n">
        <v>45327</v>
      </c>
      <c r="AD2" s="10" t="n">
        <v>45325</v>
      </c>
      <c r="AE2" s="2">
        <f>IF(AD2&lt;&gt;"","Paga",IF(TODAY()&gt;AC2,"Atrasada","Aberta"))</f>
        <v/>
      </c>
      <c r="AF2" s="2">
        <f>IF(AE2="Atrasada",TODAY()-AC2,0)</f>
        <v/>
      </c>
      <c r="AG2" s="5" t="inlineStr"/>
    </row>
    <row r="3">
      <c r="A3" s="11" t="n">
        <v>2</v>
      </c>
      <c r="B3" s="11" t="inlineStr">
        <is>
          <t>Recebida</t>
        </is>
      </c>
      <c r="C3" s="11" t="inlineStr">
        <is>
          <t>NF-e 55</t>
        </is>
      </c>
      <c r="D3" s="11" t="inlineStr">
        <is>
          <t>1</t>
        </is>
      </c>
      <c r="E3" s="11" t="inlineStr">
        <is>
          <t>002341</t>
        </is>
      </c>
      <c r="F3" s="11" t="inlineStr">
        <is>
          <t>35240298765432000111550010023411098765432101</t>
        </is>
      </c>
      <c r="G3" s="12" t="n">
        <v>45301</v>
      </c>
      <c r="H3" s="11">
        <f>TEXTO(G3;"mm/aaaa")</f>
        <v/>
      </c>
      <c r="I3" s="4" t="inlineStr">
        <is>
          <t>98.765.432/0001-11</t>
        </is>
      </c>
      <c r="J3" s="13">
        <f>IFERROR(VLOOKUP(I3,Cadastros!$A:$E,2,FALSE),"")</f>
        <v/>
      </c>
      <c r="K3" s="11">
        <f>IFERROR(VLOOKUP(I3,Cadastros!$A:$E,3,FALSE),"")</f>
        <v/>
      </c>
      <c r="L3" s="11" t="inlineStr">
        <is>
          <t>1102</t>
        </is>
      </c>
      <c r="M3" s="13" t="inlineStr">
        <is>
          <t>Compra de Mercadorias</t>
        </is>
      </c>
      <c r="N3" s="13" t="inlineStr">
        <is>
          <t>Matéria-Prima Aço Inox</t>
        </is>
      </c>
      <c r="O3" s="6" t="n">
        <v>15000</v>
      </c>
      <c r="P3" s="6" t="n">
        <v>500</v>
      </c>
      <c r="Q3" s="6" t="n">
        <v>300</v>
      </c>
      <c r="R3" s="14">
        <f>O3-P3+Q3</f>
        <v/>
      </c>
      <c r="S3" s="8" t="n">
        <v>12</v>
      </c>
      <c r="T3" s="14">
        <f>IF(S3=0,0,R3*S3/100)</f>
        <v/>
      </c>
      <c r="U3" s="8" t="n">
        <v>0</v>
      </c>
      <c r="V3" s="14">
        <f>IF(U3=0,0,R3*U3/100)</f>
        <v/>
      </c>
      <c r="W3" s="8" t="n">
        <v>0.65</v>
      </c>
      <c r="X3" s="14">
        <f>IF(W3=0,0,R3*W3/100)</f>
        <v/>
      </c>
      <c r="Y3" s="8" t="n">
        <v>3</v>
      </c>
      <c r="Z3" s="14">
        <f>IF(Y3=0,0,R3*Y3/100)</f>
        <v/>
      </c>
      <c r="AA3" s="15">
        <f>R3+T3+V3+X3+Z3</f>
        <v/>
      </c>
      <c r="AB3" s="11" t="inlineStr">
        <is>
          <t>Transferência</t>
        </is>
      </c>
      <c r="AC3" s="12" t="n">
        <v>45332</v>
      </c>
      <c r="AD3" s="10" t="n">
        <v>45330</v>
      </c>
      <c r="AE3" s="11">
        <f>IF(AD3&lt;&gt;"","Paga",IF(TODAY()&gt;AC3,"Atrasada","Aberta"))</f>
        <v/>
      </c>
      <c r="AF3" s="11">
        <f>IF(AE3="Atrasada",TODAY()-AC3,0)</f>
        <v/>
      </c>
      <c r="AG3" s="13" t="inlineStr"/>
    </row>
    <row r="4">
      <c r="A4" s="2" t="n">
        <v>3</v>
      </c>
      <c r="B4" s="2" t="inlineStr">
        <is>
          <t>Emitida</t>
        </is>
      </c>
      <c r="C4" s="2" t="inlineStr">
        <is>
          <t>NFS-e</t>
        </is>
      </c>
      <c r="D4" s="2" t="inlineStr">
        <is>
          <t>1</t>
        </is>
      </c>
      <c r="E4" s="2" t="inlineStr">
        <is>
          <t>000045</t>
        </is>
      </c>
      <c r="F4" s="2" t="inlineStr"/>
      <c r="G4" s="3" t="n">
        <v>45306</v>
      </c>
      <c r="H4" s="2">
        <f>TEXTO(G4;"mm/aaaa")</f>
        <v/>
      </c>
      <c r="I4" s="4" t="inlineStr">
        <is>
          <t>45.678.901/0001-22</t>
        </is>
      </c>
      <c r="J4" s="5">
        <f>IFERROR(VLOOKUP(I4,Cadastros!$A:$E,2,FALSE),"")</f>
        <v/>
      </c>
      <c r="K4" s="2">
        <f>IFERROR(VLOOKUP(I4,Cadastros!$A:$E,3,FALSE),"")</f>
        <v/>
      </c>
      <c r="L4" s="2" t="inlineStr">
        <is>
          <t>5933</t>
        </is>
      </c>
      <c r="M4" s="5" t="inlineStr">
        <is>
          <t>Prestação de Serviços</t>
        </is>
      </c>
      <c r="N4" s="5" t="inlineStr">
        <is>
          <t>Desenvolvimento de Software</t>
        </is>
      </c>
      <c r="O4" s="6" t="n">
        <v>12000</v>
      </c>
      <c r="P4" s="6" t="n">
        <v>0</v>
      </c>
      <c r="Q4" s="6" t="n">
        <v>0</v>
      </c>
      <c r="R4" s="7">
        <f>O4-P4+Q4</f>
        <v/>
      </c>
      <c r="S4" s="8" t="n">
        <v>0</v>
      </c>
      <c r="T4" s="7">
        <f>IF(S4=0,0,R4*S4/100)</f>
        <v/>
      </c>
      <c r="U4" s="8" t="n">
        <v>5</v>
      </c>
      <c r="V4" s="7">
        <f>IF(U4=0,0,R4*U4/100)</f>
        <v/>
      </c>
      <c r="W4" s="8" t="n">
        <v>0.65</v>
      </c>
      <c r="X4" s="7">
        <f>IF(W4=0,0,R4*W4/100)</f>
        <v/>
      </c>
      <c r="Y4" s="8" t="n">
        <v>3</v>
      </c>
      <c r="Z4" s="7">
        <f>IF(Y4=0,0,R4*Y4/100)</f>
        <v/>
      </c>
      <c r="AA4" s="9">
        <f>R4+T4+V4+X4+Z4</f>
        <v/>
      </c>
      <c r="AB4" s="2" t="inlineStr">
        <is>
          <t>Pix</t>
        </is>
      </c>
      <c r="AC4" s="3" t="n">
        <v>45337</v>
      </c>
      <c r="AD4" s="10" t="n"/>
      <c r="AE4" s="2">
        <f>IF(AD4&lt;&gt;"","Paga",IF(TODAY()&gt;AC4,"Atrasada","Aberta"))</f>
        <v/>
      </c>
      <c r="AF4" s="2">
        <f>IF(AE4="Atrasada",TODAY()-AC4,0)</f>
        <v/>
      </c>
      <c r="AG4" s="5" t="inlineStr"/>
    </row>
    <row r="5">
      <c r="A5" s="11" t="n">
        <v>4</v>
      </c>
      <c r="B5" s="11" t="inlineStr">
        <is>
          <t>Emitida</t>
        </is>
      </c>
      <c r="C5" s="11" t="inlineStr">
        <is>
          <t>NF-e 55</t>
        </is>
      </c>
      <c r="D5" s="11" t="inlineStr">
        <is>
          <t>1</t>
        </is>
      </c>
      <c r="E5" s="11" t="inlineStr">
        <is>
          <t>000002</t>
        </is>
      </c>
      <c r="F5" s="11" t="inlineStr">
        <is>
          <t>35240112345678000190550010000002021234567891</t>
        </is>
      </c>
      <c r="G5" s="12" t="n">
        <v>45325</v>
      </c>
      <c r="H5" s="11">
        <f>TEXTO(G5;"mm/aaaa")</f>
        <v/>
      </c>
      <c r="I5" s="4" t="inlineStr">
        <is>
          <t>32.109.876/0001-33</t>
        </is>
      </c>
      <c r="J5" s="13">
        <f>IFERROR(VLOOKUP(I5,Cadastros!$A:$E,2,FALSE),"")</f>
        <v/>
      </c>
      <c r="K5" s="11">
        <f>IFERROR(VLOOKUP(I5,Cadastros!$A:$E,3,FALSE),"")</f>
        <v/>
      </c>
      <c r="L5" s="11" t="inlineStr">
        <is>
          <t>5102</t>
        </is>
      </c>
      <c r="M5" s="13" t="inlineStr">
        <is>
          <t>Venda de Mercadorias</t>
        </is>
      </c>
      <c r="N5" s="13" t="inlineStr">
        <is>
          <t>Monitor LG 27 polegadas 4K</t>
        </is>
      </c>
      <c r="O5" s="6" t="n">
        <v>4200</v>
      </c>
      <c r="P5" s="6" t="n">
        <v>100</v>
      </c>
      <c r="Q5" s="6" t="n">
        <v>80</v>
      </c>
      <c r="R5" s="14">
        <f>O5-P5+Q5</f>
        <v/>
      </c>
      <c r="S5" s="8" t="n">
        <v>12</v>
      </c>
      <c r="T5" s="14">
        <f>IF(S5=0,0,R5*S5/100)</f>
        <v/>
      </c>
      <c r="U5" s="8" t="n">
        <v>0</v>
      </c>
      <c r="V5" s="14">
        <f>IF(U5=0,0,R5*U5/100)</f>
        <v/>
      </c>
      <c r="W5" s="8" t="n">
        <v>0.65</v>
      </c>
      <c r="X5" s="14">
        <f>IF(W5=0,0,R5*W5/100)</f>
        <v/>
      </c>
      <c r="Y5" s="8" t="n">
        <v>3</v>
      </c>
      <c r="Z5" s="14">
        <f>IF(Y5=0,0,R5*Y5/100)</f>
        <v/>
      </c>
      <c r="AA5" s="15">
        <f>R5+T5+V5+X5+Z5</f>
        <v/>
      </c>
      <c r="AB5" s="11" t="inlineStr">
        <is>
          <t>Cartão</t>
        </is>
      </c>
      <c r="AC5" s="12" t="n">
        <v>45354</v>
      </c>
      <c r="AD5" s="10" t="n"/>
      <c r="AE5" s="11">
        <f>IF(AD5&lt;&gt;"","Paga",IF(TODAY()&gt;AC5,"Atrasada","Aberta"))</f>
        <v/>
      </c>
      <c r="AF5" s="11">
        <f>IF(AE5="Atrasada",TODAY()-AC5,0)</f>
        <v/>
      </c>
      <c r="AG5" s="13" t="inlineStr"/>
    </row>
    <row r="6">
      <c r="A6" s="2" t="n">
        <v>5</v>
      </c>
      <c r="B6" s="2" t="inlineStr">
        <is>
          <t>Recebida</t>
        </is>
      </c>
      <c r="C6" s="2" t="inlineStr">
        <is>
          <t>NF-e 55</t>
        </is>
      </c>
      <c r="D6" s="2" t="inlineStr">
        <is>
          <t>1</t>
        </is>
      </c>
      <c r="E6" s="2" t="inlineStr">
        <is>
          <t>005678</t>
        </is>
      </c>
      <c r="F6" s="2" t="inlineStr">
        <is>
          <t>35240267890123000144550010056781234509876543</t>
        </is>
      </c>
      <c r="G6" s="3" t="n">
        <v>45330</v>
      </c>
      <c r="H6" s="2">
        <f>TEXTO(G6;"mm/aaaa")</f>
        <v/>
      </c>
      <c r="I6" s="4" t="inlineStr">
        <is>
          <t>67.890.123/0001-44</t>
        </is>
      </c>
      <c r="J6" s="5">
        <f>IFERROR(VLOOKUP(I6,Cadastros!$A:$E,2,FALSE),"")</f>
        <v/>
      </c>
      <c r="K6" s="2">
        <f>IFERROR(VLOOKUP(I6,Cadastros!$A:$E,3,FALSE),"")</f>
        <v/>
      </c>
      <c r="L6" s="2" t="inlineStr">
        <is>
          <t>1102</t>
        </is>
      </c>
      <c r="M6" s="5" t="inlineStr">
        <is>
          <t>Compra de Mercadorias</t>
        </is>
      </c>
      <c r="N6" s="5" t="inlineStr">
        <is>
          <t>Produtos Eletrônicos Diversos</t>
        </is>
      </c>
      <c r="O6" s="6" t="n">
        <v>22000</v>
      </c>
      <c r="P6" s="6" t="n">
        <v>1000</v>
      </c>
      <c r="Q6" s="6" t="n">
        <v>450</v>
      </c>
      <c r="R6" s="7">
        <f>O6-P6+Q6</f>
        <v/>
      </c>
      <c r="S6" s="8" t="n">
        <v>12</v>
      </c>
      <c r="T6" s="7">
        <f>IF(S6=0,0,R6*S6/100)</f>
        <v/>
      </c>
      <c r="U6" s="8" t="n">
        <v>0</v>
      </c>
      <c r="V6" s="7">
        <f>IF(U6=0,0,R6*U6/100)</f>
        <v/>
      </c>
      <c r="W6" s="8" t="n">
        <v>0.65</v>
      </c>
      <c r="X6" s="7">
        <f>IF(W6=0,0,R6*W6/100)</f>
        <v/>
      </c>
      <c r="Y6" s="8" t="n">
        <v>3</v>
      </c>
      <c r="Z6" s="7">
        <f>IF(Y6=0,0,R6*Y6/100)</f>
        <v/>
      </c>
      <c r="AA6" s="9">
        <f>R6+T6+V6+X6+Z6</f>
        <v/>
      </c>
      <c r="AB6" s="2" t="inlineStr">
        <is>
          <t>Boleto</t>
        </is>
      </c>
      <c r="AC6" s="3" t="n">
        <v>45359</v>
      </c>
      <c r="AD6" s="10" t="n">
        <v>45356</v>
      </c>
      <c r="AE6" s="2">
        <f>IF(AD6&lt;&gt;"","Paga",IF(TODAY()&gt;AC6,"Atrasada","Aberta"))</f>
        <v/>
      </c>
      <c r="AF6" s="2">
        <f>IF(AE6="Atrasada",TODAY()-AC6,0)</f>
        <v/>
      </c>
      <c r="AG6" s="5" t="inlineStr"/>
    </row>
    <row r="7">
      <c r="A7" s="11" t="n">
        <v>6</v>
      </c>
      <c r="B7" s="11" t="inlineStr">
        <is>
          <t>Emitida</t>
        </is>
      </c>
      <c r="C7" s="11" t="inlineStr">
        <is>
          <t>NFS-e</t>
        </is>
      </c>
      <c r="D7" s="11" t="inlineStr">
        <is>
          <t>1</t>
        </is>
      </c>
      <c r="E7" s="11" t="inlineStr">
        <is>
          <t>000046</t>
        </is>
      </c>
      <c r="F7" s="11" t="inlineStr"/>
      <c r="G7" s="12" t="n">
        <v>45334</v>
      </c>
      <c r="H7" s="11">
        <f>TEXTO(G7;"mm/aaaa")</f>
        <v/>
      </c>
      <c r="I7" s="4" t="inlineStr">
        <is>
          <t>11.222.333/0001-55</t>
        </is>
      </c>
      <c r="J7" s="13">
        <f>IFERROR(VLOOKUP(I7,Cadastros!$A:$E,2,FALSE),"")</f>
        <v/>
      </c>
      <c r="K7" s="11">
        <f>IFERROR(VLOOKUP(I7,Cadastros!$A:$E,3,FALSE),"")</f>
        <v/>
      </c>
      <c r="L7" s="11" t="inlineStr">
        <is>
          <t>5933</t>
        </is>
      </c>
      <c r="M7" s="13" t="inlineStr">
        <is>
          <t>Prestação de Serviços</t>
        </is>
      </c>
      <c r="N7" s="13" t="inlineStr">
        <is>
          <t>Consultoria Fiscal Mensal</t>
        </is>
      </c>
      <c r="O7" s="6" t="n">
        <v>3500</v>
      </c>
      <c r="P7" s="6" t="n">
        <v>0</v>
      </c>
      <c r="Q7" s="6" t="n">
        <v>0</v>
      </c>
      <c r="R7" s="14">
        <f>O7-P7+Q7</f>
        <v/>
      </c>
      <c r="S7" s="8" t="n">
        <v>0</v>
      </c>
      <c r="T7" s="14">
        <f>IF(S7=0,0,R7*S7/100)</f>
        <v/>
      </c>
      <c r="U7" s="8" t="n">
        <v>5</v>
      </c>
      <c r="V7" s="14">
        <f>IF(U7=0,0,R7*U7/100)</f>
        <v/>
      </c>
      <c r="W7" s="8" t="n">
        <v>0.65</v>
      </c>
      <c r="X7" s="14">
        <f>IF(W7=0,0,R7*W7/100)</f>
        <v/>
      </c>
      <c r="Y7" s="8" t="n">
        <v>3</v>
      </c>
      <c r="Z7" s="14">
        <f>IF(Y7=0,0,R7*Y7/100)</f>
        <v/>
      </c>
      <c r="AA7" s="15">
        <f>R7+T7+V7+X7+Z7</f>
        <v/>
      </c>
      <c r="AB7" s="11" t="inlineStr">
        <is>
          <t>Pix</t>
        </is>
      </c>
      <c r="AC7" s="12" t="n">
        <v>45363</v>
      </c>
      <c r="AD7" s="10" t="n"/>
      <c r="AE7" s="11">
        <f>IF(AD7&lt;&gt;"","Paga",IF(TODAY()&gt;AC7,"Atrasada","Aberta"))</f>
        <v/>
      </c>
      <c r="AF7" s="11">
        <f>IF(AE7="Atrasada",TODAY()-AC7,0)</f>
        <v/>
      </c>
      <c r="AG7" s="13" t="inlineStr"/>
    </row>
    <row r="8">
      <c r="A8" s="2" t="n">
        <v>7</v>
      </c>
      <c r="B8" s="2" t="inlineStr">
        <is>
          <t>Emitida</t>
        </is>
      </c>
      <c r="C8" s="2" t="inlineStr">
        <is>
          <t>NF-e 55</t>
        </is>
      </c>
      <c r="D8" s="2" t="inlineStr">
        <is>
          <t>1</t>
        </is>
      </c>
      <c r="E8" s="2" t="inlineStr">
        <is>
          <t>000003</t>
        </is>
      </c>
      <c r="F8" s="2" t="inlineStr">
        <is>
          <t>35240312345678000190550010000003031234567892</t>
        </is>
      </c>
      <c r="G8" s="3" t="n">
        <v>45352</v>
      </c>
      <c r="H8" s="2">
        <f>TEXTO(G8;"mm/aaaa")</f>
        <v/>
      </c>
      <c r="I8" s="4" t="inlineStr">
        <is>
          <t>55.444.333/0001-66</t>
        </is>
      </c>
      <c r="J8" s="5">
        <f>IFERROR(VLOOKUP(I8,Cadastros!$A:$E,2,FALSE),"")</f>
        <v/>
      </c>
      <c r="K8" s="2">
        <f>IFERROR(VLOOKUP(I8,Cadastros!$A:$E,3,FALSE),"")</f>
        <v/>
      </c>
      <c r="L8" s="2" t="inlineStr">
        <is>
          <t>5101</t>
        </is>
      </c>
      <c r="M8" s="5" t="inlineStr">
        <is>
          <t>Venda de Produção</t>
        </is>
      </c>
      <c r="N8" s="5" t="inlineStr">
        <is>
          <t>Soja Grão Safra 2024</t>
        </is>
      </c>
      <c r="O8" s="6" t="n">
        <v>35000</v>
      </c>
      <c r="P8" s="6" t="n">
        <v>0</v>
      </c>
      <c r="Q8" s="6" t="n">
        <v>800</v>
      </c>
      <c r="R8" s="7">
        <f>O8-P8+Q8</f>
        <v/>
      </c>
      <c r="S8" s="8" t="n">
        <v>0</v>
      </c>
      <c r="T8" s="7">
        <f>IF(S8=0,0,R8*S8/100)</f>
        <v/>
      </c>
      <c r="U8" s="8" t="n">
        <v>0</v>
      </c>
      <c r="V8" s="7">
        <f>IF(U8=0,0,R8*U8/100)</f>
        <v/>
      </c>
      <c r="W8" s="8" t="n">
        <v>0.65</v>
      </c>
      <c r="X8" s="7">
        <f>IF(W8=0,0,R8*W8/100)</f>
        <v/>
      </c>
      <c r="Y8" s="8" t="n">
        <v>3</v>
      </c>
      <c r="Z8" s="7">
        <f>IF(Y8=0,0,R8*Y8/100)</f>
        <v/>
      </c>
      <c r="AA8" s="9">
        <f>R8+T8+V8+X8+Z8</f>
        <v/>
      </c>
      <c r="AB8" s="2" t="inlineStr">
        <is>
          <t>Transferência</t>
        </is>
      </c>
      <c r="AC8" s="3" t="n">
        <v>45383</v>
      </c>
      <c r="AD8" s="10" t="n">
        <v>45379</v>
      </c>
      <c r="AE8" s="2">
        <f>IF(AD8&lt;&gt;"","Paga",IF(TODAY()&gt;AC8,"Atrasada","Aberta"))</f>
        <v/>
      </c>
      <c r="AF8" s="2">
        <f>IF(AE8="Atrasada",TODAY()-AC8,0)</f>
        <v/>
      </c>
      <c r="AG8" s="5" t="inlineStr"/>
    </row>
    <row r="9">
      <c r="A9" s="11" t="n">
        <v>8</v>
      </c>
      <c r="B9" s="11" t="inlineStr">
        <is>
          <t>Recebida</t>
        </is>
      </c>
      <c r="C9" s="11" t="inlineStr">
        <is>
          <t>NF-e 55</t>
        </is>
      </c>
      <c r="D9" s="11" t="inlineStr">
        <is>
          <t>1</t>
        </is>
      </c>
      <c r="E9" s="11" t="inlineStr">
        <is>
          <t>009012</t>
        </is>
      </c>
      <c r="F9" s="11" t="inlineStr">
        <is>
          <t>35240377888999000177550010090121234509999901</t>
        </is>
      </c>
      <c r="G9" s="12" t="n">
        <v>45356</v>
      </c>
      <c r="H9" s="11">
        <f>TEXTO(G9;"mm/aaaa")</f>
        <v/>
      </c>
      <c r="I9" s="4" t="inlineStr">
        <is>
          <t>77.888.999/0001-77</t>
        </is>
      </c>
      <c r="J9" s="13">
        <f>IFERROR(VLOOKUP(I9,Cadastros!$A:$E,2,FALSE),"")</f>
        <v/>
      </c>
      <c r="K9" s="11">
        <f>IFERROR(VLOOKUP(I9,Cadastros!$A:$E,3,FALSE),"")</f>
        <v/>
      </c>
      <c r="L9" s="11" t="inlineStr">
        <is>
          <t>1102</t>
        </is>
      </c>
      <c r="M9" s="13" t="inlineStr">
        <is>
          <t>Compra de Mercadorias</t>
        </is>
      </c>
      <c r="N9" s="13" t="inlineStr">
        <is>
          <t>Peças e Equipamentos Logísticos</t>
        </is>
      </c>
      <c r="O9" s="6" t="n">
        <v>18500</v>
      </c>
      <c r="P9" s="6" t="n">
        <v>750</v>
      </c>
      <c r="Q9" s="6" t="n">
        <v>600</v>
      </c>
      <c r="R9" s="14">
        <f>O9-P9+Q9</f>
        <v/>
      </c>
      <c r="S9" s="8" t="n">
        <v>12</v>
      </c>
      <c r="T9" s="14">
        <f>IF(S9=0,0,R9*S9/100)</f>
        <v/>
      </c>
      <c r="U9" s="8" t="n">
        <v>0</v>
      </c>
      <c r="V9" s="14">
        <f>IF(U9=0,0,R9*U9/100)</f>
        <v/>
      </c>
      <c r="W9" s="8" t="n">
        <v>0.65</v>
      </c>
      <c r="X9" s="14">
        <f>IF(W9=0,0,R9*W9/100)</f>
        <v/>
      </c>
      <c r="Y9" s="8" t="n">
        <v>3</v>
      </c>
      <c r="Z9" s="14">
        <f>IF(Y9=0,0,R9*Y9/100)</f>
        <v/>
      </c>
      <c r="AA9" s="15">
        <f>R9+T9+V9+X9+Z9</f>
        <v/>
      </c>
      <c r="AB9" s="11" t="inlineStr">
        <is>
          <t>Boleto</t>
        </is>
      </c>
      <c r="AC9" s="12" t="n">
        <v>45387</v>
      </c>
      <c r="AD9" s="10" t="n"/>
      <c r="AE9" s="11">
        <f>IF(AD9&lt;&gt;"","Paga",IF(TODAY()&gt;AC9,"Atrasada","Aberta"))</f>
        <v/>
      </c>
      <c r="AF9" s="11">
        <f>IF(AE9="Atrasada",TODAY()-AC9,0)</f>
        <v/>
      </c>
      <c r="AG9" s="13" t="inlineStr"/>
    </row>
    <row r="10">
      <c r="A10" s="2" t="n">
        <v>9</v>
      </c>
      <c r="B10" s="2" t="inlineStr">
        <is>
          <t>Emitida</t>
        </is>
      </c>
      <c r="C10" s="2" t="inlineStr">
        <is>
          <t>NFS-e</t>
        </is>
      </c>
      <c r="D10" s="2" t="inlineStr">
        <is>
          <t>1</t>
        </is>
      </c>
      <c r="E10" s="2" t="inlineStr">
        <is>
          <t>000047</t>
        </is>
      </c>
      <c r="F10" s="2" t="inlineStr"/>
      <c r="G10" s="3" t="n">
        <v>45369</v>
      </c>
      <c r="H10" s="2">
        <f>TEXTO(G10;"mm/aaaa")</f>
        <v/>
      </c>
      <c r="I10" s="4" t="inlineStr">
        <is>
          <t>22.333.444/0001-88</t>
        </is>
      </c>
      <c r="J10" s="5">
        <f>IFERROR(VLOOKUP(I10,Cadastros!$A:$E,2,FALSE),"")</f>
        <v/>
      </c>
      <c r="K10" s="2">
        <f>IFERROR(VLOOKUP(I10,Cadastros!$A:$E,3,FALSE),"")</f>
        <v/>
      </c>
      <c r="L10" s="2" t="inlineStr">
        <is>
          <t>5933</t>
        </is>
      </c>
      <c r="M10" s="5" t="inlineStr">
        <is>
          <t>Prestação de Serviços</t>
        </is>
      </c>
      <c r="N10" s="5" t="inlineStr">
        <is>
          <t>Auditoria Contábil Trimestral</t>
        </is>
      </c>
      <c r="O10" s="6" t="n">
        <v>7800</v>
      </c>
      <c r="P10" s="6" t="n">
        <v>0</v>
      </c>
      <c r="Q10" s="6" t="n">
        <v>0</v>
      </c>
      <c r="R10" s="7">
        <f>O10-P10+Q10</f>
        <v/>
      </c>
      <c r="S10" s="8" t="n">
        <v>0</v>
      </c>
      <c r="T10" s="7">
        <f>IF(S10=0,0,R10*S10/100)</f>
        <v/>
      </c>
      <c r="U10" s="8" t="n">
        <v>5</v>
      </c>
      <c r="V10" s="7">
        <f>IF(U10=0,0,R10*U10/100)</f>
        <v/>
      </c>
      <c r="W10" s="8" t="n">
        <v>0.65</v>
      </c>
      <c r="X10" s="7">
        <f>IF(W10=0,0,R10*W10/100)</f>
        <v/>
      </c>
      <c r="Y10" s="8" t="n">
        <v>3</v>
      </c>
      <c r="Z10" s="7">
        <f>IF(Y10=0,0,R10*Y10/100)</f>
        <v/>
      </c>
      <c r="AA10" s="9">
        <f>R10+T10+V10+X10+Z10</f>
        <v/>
      </c>
      <c r="AB10" s="2" t="inlineStr">
        <is>
          <t>Pix</t>
        </is>
      </c>
      <c r="AC10" s="3" t="n">
        <v>45400</v>
      </c>
      <c r="AD10" s="10" t="n"/>
      <c r="AE10" s="2">
        <f>IF(AD10&lt;&gt;"","Paga",IF(TODAY()&gt;AC10,"Atrasada","Aberta"))</f>
        <v/>
      </c>
      <c r="AF10" s="2">
        <f>IF(AE10="Atrasada",TODAY()-AC10,0)</f>
        <v/>
      </c>
      <c r="AG10" s="5" t="inlineStr"/>
    </row>
    <row r="11">
      <c r="A11" s="11" t="n">
        <v>10</v>
      </c>
      <c r="B11" s="11" t="inlineStr">
        <is>
          <t>Recebida</t>
        </is>
      </c>
      <c r="C11" s="11" t="inlineStr">
        <is>
          <t>NF-e 55</t>
        </is>
      </c>
      <c r="D11" s="11" t="inlineStr">
        <is>
          <t>1</t>
        </is>
      </c>
      <c r="E11" s="11" t="inlineStr">
        <is>
          <t>003456</t>
        </is>
      </c>
      <c r="F11" s="11" t="inlineStr">
        <is>
          <t>35240444555666000199550010034561234500001122</t>
        </is>
      </c>
      <c r="G11" s="12" t="n">
        <v>45373</v>
      </c>
      <c r="H11" s="11">
        <f>TEXTO(G11;"mm/aaaa")</f>
        <v/>
      </c>
      <c r="I11" s="4" t="inlineStr">
        <is>
          <t>44.555.666/0001-99</t>
        </is>
      </c>
      <c r="J11" s="13">
        <f>IFERROR(VLOOKUP(I11,Cadastros!$A:$E,2,FALSE),"")</f>
        <v/>
      </c>
      <c r="K11" s="11">
        <f>IFERROR(VLOOKUP(I11,Cadastros!$A:$E,3,FALSE),"")</f>
        <v/>
      </c>
      <c r="L11" s="11" t="inlineStr">
        <is>
          <t>1102</t>
        </is>
      </c>
      <c r="M11" s="13" t="inlineStr">
        <is>
          <t>Compra de Mercadorias</t>
        </is>
      </c>
      <c r="N11" s="13" t="inlineStr">
        <is>
          <t>Medicamentos e Insumos Farmacêuticos</t>
        </is>
      </c>
      <c r="O11" s="6" t="n">
        <v>9200</v>
      </c>
      <c r="P11" s="6" t="n">
        <v>300</v>
      </c>
      <c r="Q11" s="6" t="n">
        <v>200</v>
      </c>
      <c r="R11" s="14">
        <f>O11-P11+Q11</f>
        <v/>
      </c>
      <c r="S11" s="8" t="n">
        <v>12</v>
      </c>
      <c r="T11" s="14">
        <f>IF(S11=0,0,R11*S11/100)</f>
        <v/>
      </c>
      <c r="U11" s="8" t="n">
        <v>0</v>
      </c>
      <c r="V11" s="14">
        <f>IF(U11=0,0,R11*U11/100)</f>
        <v/>
      </c>
      <c r="W11" s="8" t="n">
        <v>0.65</v>
      </c>
      <c r="X11" s="14">
        <f>IF(W11=0,0,R11*W11/100)</f>
        <v/>
      </c>
      <c r="Y11" s="8" t="n">
        <v>3</v>
      </c>
      <c r="Z11" s="14">
        <f>IF(Y11=0,0,R11*Y11/100)</f>
        <v/>
      </c>
      <c r="AA11" s="15">
        <f>R11+T11+V11+X11+Z11</f>
        <v/>
      </c>
      <c r="AB11" s="11" t="inlineStr">
        <is>
          <t>Boleto</t>
        </is>
      </c>
      <c r="AC11" s="12" t="n">
        <v>45404</v>
      </c>
      <c r="AD11" s="10" t="n"/>
      <c r="AE11" s="11">
        <f>IF(AD11&lt;&gt;"","Paga",IF(TODAY()&gt;AC11,"Atrasada","Aberta"))</f>
        <v/>
      </c>
      <c r="AF11" s="11">
        <f>IF(AE11="Atrasada",TODAY()-AC11,0)</f>
        <v/>
      </c>
      <c r="AG11" s="13" t="inlineStr"/>
    </row>
    <row r="12">
      <c r="A12" s="1" t="inlineStr">
        <is>
          <t>TOTAIS</t>
        </is>
      </c>
      <c r="B12" s="16" t="inlineStr"/>
      <c r="C12" s="16" t="inlineStr"/>
      <c r="D12" s="16" t="inlineStr"/>
      <c r="E12" s="16" t="inlineStr"/>
      <c r="F12" s="16" t="inlineStr"/>
      <c r="G12" s="16" t="inlineStr"/>
      <c r="H12" s="16" t="inlineStr"/>
      <c r="I12" s="16" t="inlineStr"/>
      <c r="J12" s="16" t="inlineStr"/>
      <c r="K12" s="16" t="inlineStr"/>
      <c r="L12" s="16" t="inlineStr"/>
      <c r="M12" s="16" t="inlineStr"/>
      <c r="N12" s="16" t="inlineStr"/>
      <c r="O12" s="17">
        <f>SUM(O2:O11)</f>
        <v/>
      </c>
      <c r="P12" s="17">
        <f>SUM(P2:P11)</f>
        <v/>
      </c>
      <c r="Q12" s="17">
        <f>SUM(Q2:Q11)</f>
        <v/>
      </c>
      <c r="R12" s="17">
        <f>SUM(R2:R11)</f>
        <v/>
      </c>
      <c r="S12" s="16" t="inlineStr"/>
      <c r="T12" s="17">
        <f>SUM(T2:T11)</f>
        <v/>
      </c>
      <c r="U12" s="16" t="inlineStr"/>
      <c r="V12" s="17">
        <f>SUM(V2:V11)</f>
        <v/>
      </c>
      <c r="W12" s="16" t="inlineStr"/>
      <c r="X12" s="17">
        <f>SUM(X2:X11)</f>
        <v/>
      </c>
      <c r="Y12" s="16" t="inlineStr"/>
      <c r="Z12" s="17">
        <f>SUM(Z2:Z11)</f>
        <v/>
      </c>
      <c r="AA12" s="17">
        <f>SUM(AA2:AA11)</f>
        <v/>
      </c>
      <c r="AB12" s="16" t="inlineStr"/>
      <c r="AC12" s="16" t="inlineStr"/>
      <c r="AD12" s="16" t="inlineStr"/>
      <c r="AE12" s="16" t="inlineStr"/>
      <c r="AF12" s="16" t="inlineStr"/>
      <c r="AG12" s="16" t="inlineStr"/>
    </row>
  </sheetData>
  <conditionalFormatting sqref="AE2:AE200">
    <cfRule type="expression" priority="1" dxfId="0" stopIfTrue="1">
      <formula>$AE2="Atrasada"</formula>
    </cfRule>
    <cfRule type="expression" priority="2" dxfId="1" stopIfTrue="1">
      <formula>$AE2="Paga"</formula>
    </cfRule>
    <cfRule type="expression" priority="3" dxfId="2" stopIfTrue="1">
      <formula>$AE2="Aberta"</formula>
    </cfRule>
  </conditionalFormatting>
  <dataValidations count="3">
    <dataValidation sqref="B2:B200" showErrorMessage="1" showInputMessage="1" allowBlank="1" type="list">
      <formula1>"Emitida,Recebida"</formula1>
    </dataValidation>
    <dataValidation sqref="C2:C200" showErrorMessage="1" showInputMessage="1" allowBlank="1" type="list">
      <formula1>"NF-e 55,NFS-e"</formula1>
    </dataValidation>
    <dataValidation sqref="AB2:AB200" showErrorMessage="1" showInputMessage="1" allowBlank="1" type="list">
      <formula1>"Boleto,Pix,Cartão,Transferência"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18" customWidth="1" min="3" max="3"/>
    <col width="20" customWidth="1" min="4" max="4"/>
    <col width="32" customWidth="1" min="5" max="5"/>
    <col width="10" customWidth="1" min="7" max="7"/>
    <col width="55" customWidth="1" min="8" max="8"/>
  </cols>
  <sheetData>
    <row r="1">
      <c r="A1" s="1" t="inlineStr">
        <is>
          <t>CNPJ/CPF</t>
        </is>
      </c>
      <c r="B1" s="1" t="inlineStr">
        <is>
          <t>Razão Social</t>
        </is>
      </c>
      <c r="C1" s="1" t="inlineStr">
        <is>
          <t>Cidade/UF</t>
        </is>
      </c>
      <c r="D1" s="1" t="inlineStr">
        <is>
          <t>Regime Tributário</t>
        </is>
      </c>
      <c r="E1" s="1" t="inlineStr">
        <is>
          <t>E-mail Financeiro</t>
        </is>
      </c>
      <c r="G1" s="1" t="inlineStr">
        <is>
          <t>CFOP</t>
        </is>
      </c>
      <c r="H1" s="1" t="inlineStr">
        <is>
          <t>Descrição CFOP</t>
        </is>
      </c>
    </row>
    <row r="2">
      <c r="A2" s="5" t="inlineStr">
        <is>
          <t>12.345.678/0001-90</t>
        </is>
      </c>
      <c r="B2" s="5" t="inlineStr">
        <is>
          <t>Comércio Rápido Ltda</t>
        </is>
      </c>
      <c r="C2" s="5" t="inlineStr">
        <is>
          <t>São Paulo/SP</t>
        </is>
      </c>
      <c r="D2" s="5" t="inlineStr">
        <is>
          <t>Simples Nacional</t>
        </is>
      </c>
      <c r="E2" s="5" t="inlineStr">
        <is>
          <t>financeiro@comerciorapido.com.br</t>
        </is>
      </c>
      <c r="G2" s="2" t="inlineStr">
        <is>
          <t>5102</t>
        </is>
      </c>
      <c r="H2" s="5" t="inlineStr">
        <is>
          <t>Venda de mercadoria adquirida ou recebida de terceiros</t>
        </is>
      </c>
    </row>
    <row r="3">
      <c r="A3" s="13" t="inlineStr">
        <is>
          <t>98.765.432/0001-11</t>
        </is>
      </c>
      <c r="B3" s="13" t="inlineStr">
        <is>
          <t>Indústria Forte S.A.</t>
        </is>
      </c>
      <c r="C3" s="13" t="inlineStr">
        <is>
          <t>Belo Horizonte/MG</t>
        </is>
      </c>
      <c r="D3" s="13" t="inlineStr">
        <is>
          <t>Lucro Real</t>
        </is>
      </c>
      <c r="E3" s="13" t="inlineStr">
        <is>
          <t>nf@industriaforte.com.br</t>
        </is>
      </c>
      <c r="G3" s="11" t="inlineStr">
        <is>
          <t>5403</t>
        </is>
      </c>
      <c r="H3" s="13" t="inlineStr">
        <is>
          <t>Venda de mercadoria sujeita ao regime de substituição tributária</t>
        </is>
      </c>
    </row>
    <row r="4">
      <c r="A4" s="5" t="inlineStr">
        <is>
          <t>45.678.901/0001-22</t>
        </is>
      </c>
      <c r="B4" s="5" t="inlineStr">
        <is>
          <t>Serviços Prime ME</t>
        </is>
      </c>
      <c r="C4" s="5" t="inlineStr">
        <is>
          <t>Rio de Janeiro/RJ</t>
        </is>
      </c>
      <c r="D4" s="5" t="inlineStr">
        <is>
          <t>Simples Nacional</t>
        </is>
      </c>
      <c r="E4" s="5" t="inlineStr">
        <is>
          <t>contato@servicosprime.com.br</t>
        </is>
      </c>
      <c r="G4" s="2" t="inlineStr">
        <is>
          <t>6102</t>
        </is>
      </c>
      <c r="H4" s="5" t="inlineStr">
        <is>
          <t>Venda de mercadoria adquirida ou recebida de terceiros – Fora do Estado</t>
        </is>
      </c>
    </row>
    <row r="5">
      <c r="A5" s="13" t="inlineStr">
        <is>
          <t>32.109.876/0001-33</t>
        </is>
      </c>
      <c r="B5" s="13" t="inlineStr">
        <is>
          <t>Tech Solutions Ltda</t>
        </is>
      </c>
      <c r="C5" s="13" t="inlineStr">
        <is>
          <t>Curitiba/PR</t>
        </is>
      </c>
      <c r="D5" s="13" t="inlineStr">
        <is>
          <t>Lucro Presumido</t>
        </is>
      </c>
      <c r="E5" s="13" t="inlineStr">
        <is>
          <t>fiscal@techsolutions.com.br</t>
        </is>
      </c>
      <c r="G5" s="11" t="inlineStr">
        <is>
          <t>1102</t>
        </is>
      </c>
      <c r="H5" s="13" t="inlineStr">
        <is>
          <t>Compra para comercialização</t>
        </is>
      </c>
    </row>
    <row r="6">
      <c r="A6" s="5" t="inlineStr">
        <is>
          <t>67.890.123/0001-44</t>
        </is>
      </c>
      <c r="B6" s="5" t="inlineStr">
        <is>
          <t>Distribuidora Sul S.A.</t>
        </is>
      </c>
      <c r="C6" s="5" t="inlineStr">
        <is>
          <t>Porto Alegre/RS</t>
        </is>
      </c>
      <c r="D6" s="5" t="inlineStr">
        <is>
          <t>Lucro Real</t>
        </is>
      </c>
      <c r="E6" s="5" t="inlineStr">
        <is>
          <t>financeiro@distsul.com.br</t>
        </is>
      </c>
      <c r="G6" s="2" t="inlineStr">
        <is>
          <t>2102</t>
        </is>
      </c>
      <c r="H6" s="5" t="inlineStr">
        <is>
          <t>Compra para comercialização – Fora do Estado</t>
        </is>
      </c>
    </row>
    <row r="7">
      <c r="A7" s="13" t="inlineStr">
        <is>
          <t>11.222.333/0001-55</t>
        </is>
      </c>
      <c r="B7" s="13" t="inlineStr">
        <is>
          <t>Construtora Norte Ltda</t>
        </is>
      </c>
      <c r="C7" s="13" t="inlineStr">
        <is>
          <t>Manaus/AM</t>
        </is>
      </c>
      <c r="D7" s="13" t="inlineStr">
        <is>
          <t>Lucro Presumido</t>
        </is>
      </c>
      <c r="E7" s="13" t="inlineStr">
        <is>
          <t>nf@construtora-norte.com.br</t>
        </is>
      </c>
      <c r="G7" s="11" t="inlineStr">
        <is>
          <t>5101</t>
        </is>
      </c>
      <c r="H7" s="13" t="inlineStr">
        <is>
          <t>Venda de produção do estabelecimento</t>
        </is>
      </c>
    </row>
    <row r="8">
      <c r="A8" s="5" t="inlineStr">
        <is>
          <t>55.444.333/0001-66</t>
        </is>
      </c>
      <c r="B8" s="5" t="inlineStr">
        <is>
          <t>Agro Cerrado ME</t>
        </is>
      </c>
      <c r="C8" s="5" t="inlineStr">
        <is>
          <t>Goiânia/GO</t>
        </is>
      </c>
      <c r="D8" s="5" t="inlineStr">
        <is>
          <t>Simples Nacional</t>
        </is>
      </c>
      <c r="E8" s="5" t="inlineStr">
        <is>
          <t>fiscal@agrocerrado.com.br</t>
        </is>
      </c>
      <c r="G8" s="2" t="inlineStr">
        <is>
          <t>5933</t>
        </is>
      </c>
      <c r="H8" s="5" t="inlineStr">
        <is>
          <t>Prestação de serviço tributada pelo ISS</t>
        </is>
      </c>
    </row>
    <row r="9">
      <c r="A9" s="13" t="inlineStr">
        <is>
          <t>77.888.999/0001-77</t>
        </is>
      </c>
      <c r="B9" s="13" t="inlineStr">
        <is>
          <t>Logística Express S.A.</t>
        </is>
      </c>
      <c r="C9" s="13" t="inlineStr">
        <is>
          <t>Campinas/SP</t>
        </is>
      </c>
      <c r="D9" s="13" t="inlineStr">
        <is>
          <t>Lucro Real</t>
        </is>
      </c>
      <c r="E9" s="13" t="inlineStr">
        <is>
          <t>contas@logistica-express.com.br</t>
        </is>
      </c>
      <c r="G9" s="11" t="inlineStr">
        <is>
          <t>6108</t>
        </is>
      </c>
      <c r="H9" s="13" t="inlineStr">
        <is>
          <t>Transferência de mercadoria adquirida ou recebida de terceiros</t>
        </is>
      </c>
    </row>
    <row r="10">
      <c r="A10" s="5" t="inlineStr">
        <is>
          <t>22.333.444/0001-88</t>
        </is>
      </c>
      <c r="B10" s="5" t="inlineStr">
        <is>
          <t>Consultoria Ativa Ltda</t>
        </is>
      </c>
      <c r="C10" s="5" t="inlineStr">
        <is>
          <t>Salvador/BA</t>
        </is>
      </c>
      <c r="D10" s="5" t="inlineStr">
        <is>
          <t>Lucro Presumido</t>
        </is>
      </c>
      <c r="E10" s="5" t="inlineStr">
        <is>
          <t>financeiro@consultoriaativa.com.br</t>
        </is>
      </c>
    </row>
    <row r="11">
      <c r="A11" s="13" t="inlineStr">
        <is>
          <t>44.555.666/0001-99</t>
        </is>
      </c>
      <c r="B11" s="13" t="inlineStr">
        <is>
          <t>Farmácia Saúde ME</t>
        </is>
      </c>
      <c r="C11" s="13" t="inlineStr">
        <is>
          <t>Recife/PE</t>
        </is>
      </c>
      <c r="D11" s="13" t="inlineStr">
        <is>
          <t>Simples Nacional</t>
        </is>
      </c>
      <c r="E11" s="13" t="inlineStr">
        <is>
          <t>nf@farmaciasaude.com.br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8" customWidth="1" min="3" max="3"/>
    <col width="4" customWidth="1" min="4" max="4"/>
    <col width="14" customWidth="1" min="5" max="5"/>
    <col width="10" customWidth="1" min="6" max="6"/>
    <col width="18" customWidth="1" min="7" max="7"/>
    <col width="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6" customHeight="1">
      <c r="A1" s="18" t="inlineStr">
        <is>
          <t>📊  DASHBOARD — CONTROLE DE NOTAS FISCAIS</t>
        </is>
      </c>
    </row>
    <row r="3" ht="22" customHeight="1">
      <c r="A3" s="19" t="inlineStr">
        <is>
          <t>Total Emitidas (R$)</t>
        </is>
      </c>
      <c r="E3" s="20" t="inlineStr">
        <is>
          <t>Total Recebidas (R$)</t>
        </is>
      </c>
      <c r="I3" s="19" t="inlineStr">
        <is>
          <t>ICMS Total (R$)</t>
        </is>
      </c>
    </row>
    <row r="4" ht="30" customHeight="1">
      <c r="A4" s="21">
        <f>SUMIF(Notas_Fiscais!B:B,"Emitida",Notas_Fiscais!AA:AA)</f>
        <v/>
      </c>
      <c r="E4" s="22">
        <f>SUMIF(Notas_Fiscais!B:B,"Recebida",Notas_Fiscais!AA:AA)</f>
        <v/>
      </c>
      <c r="I4" s="21">
        <f>SUM(Notas_Fiscais!T:T)</f>
        <v/>
      </c>
    </row>
    <row r="6" ht="22" customHeight="1">
      <c r="A6" s="20" t="inlineStr">
        <is>
          <t>ISS Total (R$)</t>
        </is>
      </c>
      <c r="E6" s="19" t="inlineStr">
        <is>
          <t>Qtde Notas Atrasadas</t>
        </is>
      </c>
      <c r="I6" s="20" t="inlineStr">
        <is>
          <t>% Notas Pagas</t>
        </is>
      </c>
    </row>
    <row r="7" ht="30" customHeight="1">
      <c r="A7" s="22">
        <f>SUM(Notas_Fiscais!V:V)</f>
        <v/>
      </c>
      <c r="E7" s="23">
        <f>COUNTIF(Notas_Fiscais!AE:AE,"Atrasada")</f>
        <v/>
      </c>
      <c r="I7" s="24">
        <f>IFERROR(COUNTIF(Notas_Fiscais!AE:AE,"Paga")/COUNTA(Notas_Fiscais!E2:E200),0)</f>
        <v/>
      </c>
    </row>
    <row r="9" ht="28" customHeight="1">
      <c r="A9" s="1" t="inlineStr">
        <is>
          <t>Status</t>
        </is>
      </c>
      <c r="B9" s="1" t="inlineStr">
        <is>
          <t>Quantidade</t>
        </is>
      </c>
      <c r="C9" s="1" t="inlineStr">
        <is>
          <t>Valor Total (R$)</t>
        </is>
      </c>
      <c r="E9" s="1" t="inlineStr">
        <is>
          <t>Tipo</t>
        </is>
      </c>
      <c r="F9" s="1" t="inlineStr">
        <is>
          <t>Qtde</t>
        </is>
      </c>
      <c r="G9" s="1" t="inlineStr">
        <is>
          <t>Valor (R$)</t>
        </is>
      </c>
    </row>
    <row r="10">
      <c r="A10" s="2" t="inlineStr">
        <is>
          <t>Aberta</t>
        </is>
      </c>
      <c r="B10" s="2">
        <f>COUNTIF(Notas_Fiscais!AE:AE,"Aberta")</f>
        <v/>
      </c>
      <c r="C10" s="7">
        <f>SUMIF(Notas_Fiscais!AE:AE,"Aberta",Notas_Fiscais!AA:AA)</f>
        <v/>
      </c>
      <c r="E10" s="2" t="inlineStr">
        <is>
          <t>Emitida</t>
        </is>
      </c>
      <c r="F10" s="2">
        <f>COUNTIF(Notas_Fiscais!B:B,"Emitida")</f>
        <v/>
      </c>
      <c r="G10" s="7">
        <f>SUMIF(Notas_Fiscais!B:B,"Emitida",Notas_Fiscais!AA:AA)</f>
        <v/>
      </c>
    </row>
    <row r="11">
      <c r="A11" s="11" t="inlineStr">
        <is>
          <t>Paga</t>
        </is>
      </c>
      <c r="B11" s="11">
        <f>COUNTIF(Notas_Fiscais!AE:AE,"Paga")</f>
        <v/>
      </c>
      <c r="C11" s="14">
        <f>SUMIF(Notas_Fiscais!AE:AE,"Paga",Notas_Fiscais!AA:AA)</f>
        <v/>
      </c>
      <c r="E11" s="11" t="inlineStr">
        <is>
          <t>Recebida</t>
        </is>
      </c>
      <c r="F11" s="11">
        <f>COUNTIF(Notas_Fiscais!B:B,"Recebida")</f>
        <v/>
      </c>
      <c r="G11" s="14">
        <f>SUMIF(Notas_Fiscais!B:B,"Recebida",Notas_Fiscais!AA:AA)</f>
        <v/>
      </c>
    </row>
    <row r="12">
      <c r="A12" s="2" t="inlineStr">
        <is>
          <t>Atrasada</t>
        </is>
      </c>
      <c r="B12" s="2">
        <f>COUNTIF(Notas_Fiscais!AE:AE,"Atrasada")</f>
        <v/>
      </c>
      <c r="C12" s="7">
        <f>SUMIF(Notas_Fiscais!AE:AE,"Atrasada",Notas_Fiscais!AA:AA)</f>
        <v/>
      </c>
    </row>
    <row r="13">
      <c r="A13" s="11" t="inlineStr">
        <is>
          <t>Cancelada</t>
        </is>
      </c>
      <c r="B13" s="11">
        <f>COUNTIF(Notas_Fiscais!AE:AE,"Cancelada")</f>
        <v/>
      </c>
      <c r="C13" s="14">
        <f>SUMIF(Notas_Fiscais!AE:AE,"Cancelada",Notas_Fiscais!AA:AA)</f>
        <v/>
      </c>
    </row>
  </sheetData>
  <mergeCells count="13">
    <mergeCell ref="A1:L1"/>
    <mergeCell ref="A3:C3"/>
    <mergeCell ref="A4:C4"/>
    <mergeCell ref="E3:G3"/>
    <mergeCell ref="E4:G4"/>
    <mergeCell ref="I3:K3"/>
    <mergeCell ref="I4:K4"/>
    <mergeCell ref="A6:C6"/>
    <mergeCell ref="A7:C7"/>
    <mergeCell ref="E6:G6"/>
    <mergeCell ref="E7:G7"/>
    <mergeCell ref="I6:K6"/>
    <mergeCell ref="I7:K7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80" customWidth="1" min="3" max="3"/>
  </cols>
  <sheetData>
    <row r="1" ht="36" customHeight="1">
      <c r="A1" s="25" t="inlineStr">
        <is>
          <t>INSTRUÇÕES DE USO — PLANILHA DE CONTROLE DE NOTAS FISCAIS</t>
        </is>
      </c>
    </row>
    <row r="2" ht="22" customHeight="1">
      <c r="A2" s="5" t="inlineStr"/>
      <c r="B2" s="5" t="inlineStr"/>
      <c r="C2" s="5" t="inlineStr"/>
    </row>
    <row r="3" ht="22" customHeight="1">
      <c r="A3" s="13" t="inlineStr">
        <is>
          <t>ABA</t>
        </is>
      </c>
      <c r="B3" s="13" t="inlineStr">
        <is>
          <t>DESCRIÇÃO</t>
        </is>
      </c>
      <c r="C3" s="13" t="inlineStr">
        <is>
          <t>ORIENTAÇÃO DETALHADA</t>
        </is>
      </c>
    </row>
    <row r="4" ht="40" customHeight="1">
      <c r="A4" s="26" t="inlineStr">
        <is>
          <t>Notas_Fiscais</t>
        </is>
      </c>
      <c r="B4" s="26" t="inlineStr">
        <is>
          <t>Registro principal de NF-e e NFS-e.</t>
        </is>
      </c>
      <c r="C4" s="26" t="inlineStr">
        <is>
          <t>Preencha os campos amarelos (input): CNPJ, valores, alíquotas, datas e forma de pagamento. Os campos calculados (Razão Social, Cidade/UF, Base de Cálculo, impostos, Status, etc.) são preenchidos automaticamente via fórmula.</t>
        </is>
      </c>
    </row>
    <row r="5" ht="40" customHeight="1">
      <c r="A5" s="13" t="inlineStr">
        <is>
          <t>Cadastros</t>
        </is>
      </c>
      <c r="B5" s="13" t="inlineStr">
        <is>
          <t>Base de parceiros e tabela de CFOPs.</t>
        </is>
      </c>
      <c r="C5" s="13" t="inlineStr">
        <is>
          <t>Cadastre os CNPJs/CPFs dos clientes e fornecedores na tabela da esquerda (colunas A–E). A planilha usa PROCV para buscar Razão Social e Cidade/UF automaticamente. A tabela de CFOPs (colunas G–H) serve de consulta.</t>
        </is>
      </c>
    </row>
    <row r="6" ht="40" customHeight="1">
      <c r="A6" s="5" t="inlineStr">
        <is>
          <t>Dashboard</t>
        </is>
      </c>
      <c r="B6" s="5" t="inlineStr">
        <is>
          <t>Painel de indicadores e gráficos.</t>
        </is>
      </c>
      <c r="C6" s="5" t="inlineStr">
        <is>
          <t>Resumo automático com totais de notas emitidas e recebidas, impostos, status de pagamento e visualizações gráficas. Nenhuma edição manual é necessária.</t>
        </is>
      </c>
    </row>
    <row r="7" ht="22" customHeight="1">
      <c r="A7" s="13" t="inlineStr"/>
      <c r="B7" s="13" t="inlineStr"/>
      <c r="C7" s="13" t="inlineStr"/>
    </row>
    <row r="8" ht="22" customHeight="1">
      <c r="A8" s="5" t="inlineStr">
        <is>
          <t>COLUNA</t>
        </is>
      </c>
      <c r="B8" s="5" t="inlineStr"/>
      <c r="C8" s="5" t="inlineStr">
        <is>
          <t>DETALHES</t>
        </is>
      </c>
    </row>
    <row r="9" ht="40" customHeight="1">
      <c r="A9" s="13" t="inlineStr">
        <is>
          <t>Tipo</t>
        </is>
      </c>
      <c r="B9" s="13" t="inlineStr">
        <is>
          <t>Emitida / Recebida</t>
        </is>
      </c>
      <c r="C9" s="13" t="inlineStr">
        <is>
          <t>Selecione na lista suspensa. Notas emitidas pela empresa = Emitida. Notas de fornecedores = Recebida.</t>
        </is>
      </c>
    </row>
    <row r="10" ht="22" customHeight="1">
      <c r="A10" s="26" t="inlineStr">
        <is>
          <t>Modelo</t>
        </is>
      </c>
      <c r="B10" s="26" t="inlineStr">
        <is>
          <t>NF-e 55 / NFS-e</t>
        </is>
      </c>
      <c r="C10" s="26" t="inlineStr">
        <is>
          <t>NF-e 55 para mercadorias; NFS-e para serviços municipais.</t>
        </is>
      </c>
    </row>
    <row r="11" ht="40" customHeight="1">
      <c r="A11" s="13" t="inlineStr">
        <is>
          <t>Chave de Acesso</t>
        </is>
      </c>
      <c r="B11" s="13" t="inlineStr">
        <is>
          <t>44 dígitos</t>
        </is>
      </c>
      <c r="C11" s="13" t="inlineStr">
        <is>
          <t>Copie a chave do XML ou DANFE. Preenchimento opcional para NFS-e.</t>
        </is>
      </c>
    </row>
    <row r="12" ht="22" customHeight="1">
      <c r="A12" s="5" t="inlineStr">
        <is>
          <t>Base de Cálculo</t>
        </is>
      </c>
      <c r="B12" s="5" t="inlineStr">
        <is>
          <t>Calculado</t>
        </is>
      </c>
      <c r="C12" s="5">
        <f> Valor Produtos − Desconto + Frete/Outras Despesas.</f>
        <v/>
      </c>
    </row>
    <row r="13" ht="40" customHeight="1">
      <c r="A13" s="13" t="inlineStr">
        <is>
          <t>Alíquotas</t>
        </is>
      </c>
      <c r="B13" s="13" t="inlineStr">
        <is>
          <t>Input amarelo</t>
        </is>
      </c>
      <c r="C13" s="13" t="inlineStr">
        <is>
          <t>ICMS (mercadorias) e ISS (serviços) são mutuamente exclusivos. PIS e COFINS aplicam-se a ambos (padrão 0,65% e 3%).</t>
        </is>
      </c>
    </row>
    <row r="14" ht="40" customHeight="1">
      <c r="A14" s="5" t="inlineStr">
        <is>
          <t>Status</t>
        </is>
      </c>
      <c r="B14" s="5" t="inlineStr">
        <is>
          <t>Calculado</t>
        </is>
      </c>
      <c r="C14" s="5" t="inlineStr">
        <is>
          <t>'Paga' se Data Pagamento preenchida; 'Atrasada' se vencido; 'Aberta' caso contrário.</t>
        </is>
      </c>
    </row>
    <row r="15" ht="22" customHeight="1">
      <c r="A15" s="13" t="inlineStr">
        <is>
          <t>Dias em Atraso</t>
        </is>
      </c>
      <c r="B15" s="13" t="inlineStr">
        <is>
          <t>Calculado</t>
        </is>
      </c>
      <c r="C15" s="13" t="inlineStr">
        <is>
          <t>Preenchido apenas para notas com Status = Atrasada.</t>
        </is>
      </c>
    </row>
    <row r="16" ht="22" customHeight="1">
      <c r="A16" s="5" t="inlineStr"/>
      <c r="B16" s="5" t="inlineStr"/>
      <c r="C16" s="5" t="inlineStr"/>
    </row>
    <row r="17" ht="40" customHeight="1">
      <c r="A17" s="27" t="inlineStr">
        <is>
          <t>💡 DICA: As células amarelas (#FFFBEB) são campos de entrada. Não edite as células com fórmulas (fundo branco ou verde-água).</t>
        </is>
      </c>
    </row>
  </sheetData>
  <mergeCells count="2">
    <mergeCell ref="A1:F1"/>
    <mergeCell ref="A17:C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2026-04-15T08:45:08Z</dcterms:created>
  <dcterms:modified xmlns:dcterms="http://purl.org/dc/terms/" xmlns:xsi="http://www.w3.org/2001/XMLSchema-instance" xsi:type="dcterms:W3CDTF">2026-04-15T08:45:08Z</dcterms:modified>
</cp:coreProperties>
</file>