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Mov_Banco" sheetId="1" state="visible" r:id="rId1"/>
    <sheet xmlns:r="http://schemas.openxmlformats.org/officeDocument/2006/relationships" name="Mov_Empresa" sheetId="2" state="visible" r:id="rId2"/>
    <sheet xmlns:r="http://schemas.openxmlformats.org/officeDocument/2006/relationships" name="Painel_Conciliação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&quot;R$&quot; #,##0.00"/>
    <numFmt numFmtId="165" formatCode="0.0%"/>
  </numFmts>
  <fonts count="9">
    <font>
      <name val="Calibri"/>
      <family val="2"/>
      <color theme="1"/>
      <sz val="11"/>
      <scheme val="minor"/>
    </font>
    <font>
      <name val="Calibri"/>
      <b val="1"/>
      <color rgb="000F766E"/>
      <sz val="14"/>
    </font>
    <font>
      <name val="Calibri"/>
      <b val="1"/>
      <color rgb="00FFFFFF"/>
      <sz val="11"/>
    </font>
    <font>
      <name val="Calibri"/>
      <sz val="10"/>
    </font>
    <font>
      <name val="Calibri"/>
      <color rgb="00555555"/>
      <sz val="9"/>
    </font>
    <font>
      <name val="Calibri"/>
      <b val="1"/>
      <color rgb="00FFFFFF"/>
      <sz val="10"/>
    </font>
    <font>
      <name val="Calibri"/>
      <b val="1"/>
      <color rgb="00FFFFFF"/>
      <sz val="16"/>
    </font>
    <font>
      <name val="Calibri"/>
      <b val="1"/>
      <color rgb="000F766E"/>
      <sz val="10"/>
    </font>
    <font>
      <name val="Calibri"/>
      <b val="1"/>
      <color rgb="000F766E"/>
      <sz val="12"/>
    </font>
  </fonts>
  <fills count="9">
    <fill>
      <patternFill/>
    </fill>
    <fill>
      <patternFill patternType="gray125"/>
    </fill>
    <fill>
      <patternFill patternType="solid">
        <fgColor rgb="00CCFBF1"/>
      </patternFill>
    </fill>
    <fill>
      <patternFill patternType="solid">
        <fgColor rgb="000F766E"/>
      </patternFill>
    </fill>
    <fill>
      <patternFill patternType="solid">
        <fgColor rgb="00FFFFFF"/>
      </patternFill>
    </fill>
    <fill>
      <patternFill patternType="solid">
        <fgColor rgb="00FFFBEB"/>
      </patternFill>
    </fill>
    <fill>
      <patternFill patternType="solid">
        <fgColor rgb="00F0FDFA"/>
      </patternFill>
    </fill>
    <fill>
      <patternFill patternType="solid">
        <fgColor rgb="0014B8A6"/>
      </patternFill>
    </fill>
    <fill>
      <patternFill patternType="solid">
        <fgColor rgb="00E6FFFA"/>
      </patternFill>
    </fill>
  </fills>
  <borders count="2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</borders>
  <cellStyleXfs count="1">
    <xf numFmtId="0" fontId="0" fillId="0" borderId="0"/>
  </cellStyleXfs>
  <cellXfs count="26">
    <xf numFmtId="0" fontId="0" fillId="0" borderId="0" pivotButton="0" quotePrefix="0" xfId="0"/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center" vertical="center"/>
    </xf>
    <xf numFmtId="0" fontId="3" fillId="5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left" vertical="center"/>
    </xf>
    <xf numFmtId="0" fontId="3" fillId="4" borderId="1" applyAlignment="1" pivotButton="0" quotePrefix="0" xfId="0">
      <alignment horizontal="center" vertical="center"/>
    </xf>
    <xf numFmtId="164" fontId="3" fillId="5" borderId="1" applyAlignment="1" pivotButton="0" quotePrefix="0" xfId="0">
      <alignment horizontal="right" vertical="center"/>
    </xf>
    <xf numFmtId="164" fontId="3" fillId="4" borderId="1" applyAlignment="1" pivotButton="0" quotePrefix="0" xfId="0">
      <alignment horizontal="right" vertical="center"/>
    </xf>
    <xf numFmtId="0" fontId="4" fillId="4" borderId="1" applyAlignment="1" pivotButton="0" quotePrefix="0" xfId="0">
      <alignment horizontal="left" vertical="center"/>
    </xf>
    <xf numFmtId="0" fontId="3" fillId="6" borderId="1" applyAlignment="1" pivotButton="0" quotePrefix="0" xfId="0">
      <alignment horizontal="left" vertical="center"/>
    </xf>
    <xf numFmtId="0" fontId="3" fillId="6" borderId="1" applyAlignment="1" pivotButton="0" quotePrefix="0" xfId="0">
      <alignment horizontal="center" vertical="center"/>
    </xf>
    <xf numFmtId="164" fontId="3" fillId="6" borderId="1" applyAlignment="1" pivotButton="0" quotePrefix="0" xfId="0">
      <alignment horizontal="right" vertical="center"/>
    </xf>
    <xf numFmtId="0" fontId="4" fillId="6" borderId="1" applyAlignment="1" pivotButton="0" quotePrefix="0" xfId="0">
      <alignment horizontal="left" vertical="center"/>
    </xf>
    <xf numFmtId="0" fontId="5" fillId="7" borderId="1" applyAlignment="1" pivotButton="0" quotePrefix="0" xfId="0">
      <alignment horizontal="center" vertical="center"/>
    </xf>
    <xf numFmtId="0" fontId="5" fillId="7" borderId="1" applyAlignment="1" pivotButton="0" quotePrefix="0" xfId="0">
      <alignment horizontal="right" vertical="center"/>
    </xf>
    <xf numFmtId="164" fontId="5" fillId="7" borderId="1" applyAlignment="1" pivotButton="0" quotePrefix="0" xfId="0">
      <alignment horizontal="right" vertical="center"/>
    </xf>
    <xf numFmtId="0" fontId="6" fillId="3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 wrapText="1"/>
    </xf>
    <xf numFmtId="0" fontId="5" fillId="7" borderId="1" applyAlignment="1" pivotButton="0" quotePrefix="0" xfId="0">
      <alignment horizontal="left" vertical="center" wrapText="1"/>
    </xf>
    <xf numFmtId="0" fontId="3" fillId="4" borderId="1" applyAlignment="1" pivotButton="0" quotePrefix="0" xfId="0">
      <alignment horizontal="left" vertical="center" wrapText="1"/>
    </xf>
    <xf numFmtId="0" fontId="7" fillId="8" borderId="1" applyAlignment="1" pivotButton="0" quotePrefix="0" xfId="0">
      <alignment horizontal="left" vertical="center"/>
    </xf>
    <xf numFmtId="164" fontId="8" fillId="5" borderId="1" applyAlignment="1" pivotButton="0" quotePrefix="0" xfId="0">
      <alignment horizontal="right" vertical="center"/>
    </xf>
    <xf numFmtId="1" fontId="8" fillId="5" borderId="1" applyAlignment="1" pivotButton="0" quotePrefix="0" xfId="0">
      <alignment horizontal="right" vertical="center"/>
    </xf>
    <xf numFmtId="165" fontId="8" fillId="5" borderId="1" applyAlignment="1" pivotButton="0" quotePrefix="0" xfId="0">
      <alignment horizontal="right" vertical="center"/>
    </xf>
    <xf numFmtId="165" fontId="3" fillId="6" borderId="1" applyAlignment="1" pivotButton="0" quotePrefix="0" xfId="0">
      <alignment horizontal="center" vertical="center"/>
    </xf>
    <xf numFmtId="165" fontId="3" fillId="4" borderId="1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Receitas vs Despesas por Categoria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'Painel_Conciliação'!B22</f>
            </strRef>
          </tx>
          <spPr>
            <a:solidFill xmlns:a="http://schemas.openxmlformats.org/drawingml/2006/main">
              <a:srgbClr val="22C55E"/>
            </a:solidFill>
            <a:ln xmlns:a="http://schemas.openxmlformats.org/drawingml/2006/main">
              <a:prstDash val="solid"/>
            </a:ln>
          </spPr>
          <cat>
            <numRef>
              <f>'Painel_Conciliação'!$A$23:$A$28</f>
            </numRef>
          </cat>
          <val>
            <numRef>
              <f>'Painel_Conciliação'!$B$23:$B$28</f>
            </numRef>
          </val>
        </ser>
        <ser>
          <idx val="1"/>
          <order val="1"/>
          <tx>
            <strRef>
              <f>'Painel_Conciliação'!C22</f>
            </strRef>
          </tx>
          <spPr>
            <a:solidFill xmlns:a="http://schemas.openxmlformats.org/drawingml/2006/main">
              <a:srgbClr val="DC2626"/>
            </a:solidFill>
            <a:ln xmlns:a="http://schemas.openxmlformats.org/drawingml/2006/main">
              <a:prstDash val="solid"/>
            </a:ln>
          </spPr>
          <cat>
            <numRef>
              <f>'Painel_Conciliação'!$A$23:$A$28</f>
            </numRef>
          </cat>
          <val>
            <numRef>
              <f>'Painel_Conciliação'!$C$23:$C$28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Categoria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Valor (R$)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Distribuição de Despesas por Categoria</a:t>
            </a:r>
          </a:p>
        </rich>
      </tx>
    </title>
    <plotArea>
      <pieChart>
        <varyColors val="1"/>
        <ser>
          <idx val="0"/>
          <order val="0"/>
          <tx>
            <strRef>
              <f>'Painel_Conciliação'!C22</f>
            </strRef>
          </tx>
          <spPr>
            <a:ln xmlns:a="http://schemas.openxmlformats.org/drawingml/2006/main">
              <a:prstDash val="solid"/>
            </a:ln>
          </spPr>
          <dPt>
            <idx val="0"/>
            <spPr>
              <a:solidFill xmlns:a="http://schemas.openxmlformats.org/drawingml/2006/main">
                <a:srgbClr val="0F766E"/>
              </a:solidFill>
              <a:ln xmlns:a="http://schemas.openxmlformats.org/drawingml/2006/main">
                <a:prstDash val="solid"/>
              </a:ln>
            </spPr>
          </dPt>
          <dPt>
            <idx val="1"/>
            <spPr>
              <a:solidFill xmlns:a="http://schemas.openxmlformats.org/drawingml/2006/main">
                <a:srgbClr val="14B8A6"/>
              </a:solidFill>
              <a:ln xmlns:a="http://schemas.openxmlformats.org/drawingml/2006/main">
                <a:prstDash val="solid"/>
              </a:ln>
            </spPr>
          </dPt>
          <dPt>
            <idx val="2"/>
            <spPr>
              <a:solidFill xmlns:a="http://schemas.openxmlformats.org/drawingml/2006/main">
                <a:srgbClr val="22C55E"/>
              </a:solidFill>
              <a:ln xmlns:a="http://schemas.openxmlformats.org/drawingml/2006/main">
                <a:prstDash val="solid"/>
              </a:ln>
            </spPr>
          </dPt>
          <dPt>
            <idx val="3"/>
            <spPr>
              <a:solidFill xmlns:a="http://schemas.openxmlformats.org/drawingml/2006/main">
                <a:srgbClr val="F59E0B"/>
              </a:solidFill>
              <a:ln xmlns:a="http://schemas.openxmlformats.org/drawingml/2006/main">
                <a:prstDash val="solid"/>
              </a:ln>
            </spPr>
          </dPt>
          <dPt>
            <idx val="4"/>
            <spPr>
              <a:solidFill xmlns:a="http://schemas.openxmlformats.org/drawingml/2006/main">
                <a:srgbClr val="DC2626"/>
              </a:solidFill>
              <a:ln xmlns:a="http://schemas.openxmlformats.org/drawingml/2006/main">
                <a:prstDash val="solid"/>
              </a:ln>
            </spPr>
          </dPt>
          <dPt>
            <idx val="5"/>
            <spPr>
              <a:solidFill xmlns:a="http://schemas.openxmlformats.org/drawingml/2006/main">
                <a:srgbClr val="6366F1"/>
              </a:solidFill>
              <a:ln xmlns:a="http://schemas.openxmlformats.org/drawingml/2006/main">
                <a:prstDash val="solid"/>
              </a:ln>
            </spPr>
          </dPt>
          <cat>
            <numRef>
              <f>'Painel_Conciliação'!$A$23:$A$28</f>
            </numRef>
          </cat>
          <val>
            <numRef>
              <f>'Painel_Conciliação'!$C$23:$C$28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/Relationships>
</file>

<file path=xl/drawings/drawing1.xml><?xml version="1.0" encoding="utf-8"?>
<wsDr xmlns="http://schemas.openxmlformats.org/drawingml/2006/spreadsheetDrawing">
  <oneCellAnchor>
    <from>
      <col>0</col>
      <colOff>0</colOff>
      <row>30</row>
      <rowOff>0</rowOff>
    </from>
    <ext cx="6480000" cy="432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6</col>
      <colOff>0</colOff>
      <row>30</row>
      <rowOff>0</rowOff>
    </from>
    <ext cx="5040000" cy="432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N12"/>
  <sheetViews>
    <sheetView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14" customWidth="1" min="1" max="1"/>
    <col width="8" customWidth="1" min="2" max="2"/>
    <col width="9" customWidth="1" min="3" max="3"/>
    <col width="12" customWidth="1" min="4" max="4"/>
    <col width="10" customWidth="1" min="5" max="5"/>
    <col width="40" customWidth="1" min="6" max="6"/>
    <col width="14" customWidth="1" min="7" max="7"/>
    <col width="14" customWidth="1" min="8" max="8"/>
    <col width="7" customWidth="1" min="9" max="9"/>
    <col width="16" customWidth="1" min="10" max="10"/>
    <col width="38" customWidth="1" min="11" max="11"/>
    <col width="16" customWidth="1" min="12" max="12"/>
    <col width="20" customWidth="1" min="13" max="13"/>
    <col width="14" customWidth="1" min="14" max="14"/>
  </cols>
  <sheetData>
    <row r="1" ht="28" customHeight="1">
      <c r="A1" s="1" t="inlineStr">
        <is>
          <t>Movimentações do Banco — Extrato Bancário (Março/2026)</t>
        </is>
      </c>
    </row>
    <row r="2" ht="20" customHeight="1">
      <c r="A2" s="2" t="inlineStr">
        <is>
          <t>Data (Banco)</t>
        </is>
      </c>
      <c r="B2" s="2" t="inlineStr">
        <is>
          <t>Banco</t>
        </is>
      </c>
      <c r="C2" s="2" t="inlineStr">
        <is>
          <t>Agência</t>
        </is>
      </c>
      <c r="D2" s="2" t="inlineStr">
        <is>
          <t>Conta</t>
        </is>
      </c>
      <c r="E2" s="2" t="inlineStr">
        <is>
          <t>Tipo</t>
        </is>
      </c>
      <c r="F2" s="2" t="inlineStr">
        <is>
          <t>Histórico / Descrição</t>
        </is>
      </c>
      <c r="G2" s="2" t="inlineStr">
        <is>
          <t>Documento (Banco)</t>
        </is>
      </c>
      <c r="H2" s="2" t="inlineStr">
        <is>
          <t>Valor (R$)</t>
        </is>
      </c>
      <c r="I2" s="2" t="inlineStr">
        <is>
          <t>Sinal</t>
        </is>
      </c>
      <c r="J2" s="2" t="inlineStr">
        <is>
          <t>Valor Ajustado (R$)</t>
        </is>
      </c>
      <c r="K2" s="2" t="inlineStr">
        <is>
          <t>Chave de Conciliação</t>
        </is>
      </c>
      <c r="L2" s="2" t="inlineStr">
        <is>
          <t>Status Conciliação</t>
        </is>
      </c>
      <c r="M2" s="2" t="inlineStr">
        <is>
          <t>ID Empresa Encontrado</t>
        </is>
      </c>
      <c r="N2" s="2" t="inlineStr">
        <is>
          <t>Diferença (R$)</t>
        </is>
      </c>
    </row>
    <row r="3">
      <c r="A3" s="3" t="inlineStr">
        <is>
          <t>02/03/2026</t>
        </is>
      </c>
      <c r="B3" s="4" t="inlineStr">
        <is>
          <t>Itaú</t>
        </is>
      </c>
      <c r="C3" s="4" t="inlineStr">
        <is>
          <t>0341</t>
        </is>
      </c>
      <c r="D3" s="4" t="inlineStr">
        <is>
          <t>12345-6</t>
        </is>
      </c>
      <c r="E3" s="4" t="inlineStr">
        <is>
          <t>Débito</t>
        </is>
      </c>
      <c r="F3" s="4" t="inlineStr">
        <is>
          <t>TED enviada – Fornecedor Papelaria</t>
        </is>
      </c>
      <c r="G3" s="5" t="inlineStr">
        <is>
          <t>584129</t>
        </is>
      </c>
      <c r="H3" s="6" t="n">
        <v>1245.9</v>
      </c>
      <c r="I3" s="5">
        <f>SE(E3="Crédito";1;-1)</f>
        <v/>
      </c>
      <c r="J3" s="7">
        <f>H3*I3</f>
        <v/>
      </c>
      <c r="K3" s="8">
        <f>TEXTO(A3;"ddmmaaaa")&amp;"|"&amp;TEXTO(ABS(H3);"0,00")&amp;"|"&amp;ESQUERDA(F3;20)</f>
        <v/>
      </c>
      <c r="L3" s="5">
        <f>SE(M3&lt;&gt;"";"Conciliado";"Pendente")</f>
        <v/>
      </c>
      <c r="M3" s="5">
        <f>SEERRO(PROCV(K3;Mov_Empresa!$K:$N;4;FALSO);"")</f>
        <v/>
      </c>
      <c r="N3" s="7">
        <f>SE(M3="";"";J3-SEERRO(PROCV(K3;Mov_Empresa!$K:$L;2;FALSO);0))</f>
        <v/>
      </c>
    </row>
    <row r="4">
      <c r="A4" s="3" t="inlineStr">
        <is>
          <t>03/03/2026</t>
        </is>
      </c>
      <c r="B4" s="9" t="inlineStr">
        <is>
          <t>Itaú</t>
        </is>
      </c>
      <c r="C4" s="9" t="inlineStr">
        <is>
          <t>0341</t>
        </is>
      </c>
      <c r="D4" s="9" t="inlineStr">
        <is>
          <t>12345-6</t>
        </is>
      </c>
      <c r="E4" s="9" t="inlineStr">
        <is>
          <t>Crédito</t>
        </is>
      </c>
      <c r="F4" s="9" t="inlineStr">
        <is>
          <t>PIX recebido – Cliente Maria Oliveira</t>
        </is>
      </c>
      <c r="G4" s="10" t="inlineStr">
        <is>
          <t>E2E-9032</t>
        </is>
      </c>
      <c r="H4" s="6" t="n">
        <v>980</v>
      </c>
      <c r="I4" s="10">
        <f>SE(E4="Crédito";1;-1)</f>
        <v/>
      </c>
      <c r="J4" s="11">
        <f>H4*I4</f>
        <v/>
      </c>
      <c r="K4" s="12">
        <f>TEXTO(A4;"ddmmaaaa")&amp;"|"&amp;TEXTO(ABS(H4);"0,00")&amp;"|"&amp;ESQUERDA(F4;20)</f>
        <v/>
      </c>
      <c r="L4" s="10">
        <f>SE(M4&lt;&gt;"";"Conciliado";"Pendente")</f>
        <v/>
      </c>
      <c r="M4" s="10">
        <f>SEERRO(PROCV(K4;Mov_Empresa!$K:$N;4;FALSO);"")</f>
        <v/>
      </c>
      <c r="N4" s="11">
        <f>SE(M4="";"";J4-SEERRO(PROCV(K4;Mov_Empresa!$K:$L;2;FALSO);0))</f>
        <v/>
      </c>
    </row>
    <row r="5">
      <c r="A5" s="3" t="inlineStr">
        <is>
          <t>04/03/2026</t>
        </is>
      </c>
      <c r="B5" s="4" t="inlineStr">
        <is>
          <t>Itaú</t>
        </is>
      </c>
      <c r="C5" s="4" t="inlineStr">
        <is>
          <t>0341</t>
        </is>
      </c>
      <c r="D5" s="4" t="inlineStr">
        <is>
          <t>12345-6</t>
        </is>
      </c>
      <c r="E5" s="4" t="inlineStr">
        <is>
          <t>Débito</t>
        </is>
      </c>
      <c r="F5" s="4" t="inlineStr">
        <is>
          <t>Tarifa pacote serviços</t>
        </is>
      </c>
      <c r="G5" s="5" t="inlineStr">
        <is>
          <t>TAR-033</t>
        </is>
      </c>
      <c r="H5" s="6" t="n">
        <v>59.9</v>
      </c>
      <c r="I5" s="5">
        <f>SE(E5="Crédito";1;-1)</f>
        <v/>
      </c>
      <c r="J5" s="7">
        <f>H5*I5</f>
        <v/>
      </c>
      <c r="K5" s="8">
        <f>TEXTO(A5;"ddmmaaaa")&amp;"|"&amp;TEXTO(ABS(H5);"0,00")&amp;"|"&amp;ESQUERDA(F5;20)</f>
        <v/>
      </c>
      <c r="L5" s="5">
        <f>SE(M5&lt;&gt;"";"Conciliado";"Pendente")</f>
        <v/>
      </c>
      <c r="M5" s="5">
        <f>SEERRO(PROCV(K5;Mov_Empresa!$K:$N;4;FALSO);"")</f>
        <v/>
      </c>
      <c r="N5" s="7">
        <f>SE(M5="";"";J5-SEERRO(PROCV(K5;Mov_Empresa!$K:$L;2;FALSO);0))</f>
        <v/>
      </c>
    </row>
    <row r="6">
      <c r="A6" s="3" t="inlineStr">
        <is>
          <t>05/03/2026</t>
        </is>
      </c>
      <c r="B6" s="9" t="inlineStr">
        <is>
          <t>Itaú</t>
        </is>
      </c>
      <c r="C6" s="9" t="inlineStr">
        <is>
          <t>0341</t>
        </is>
      </c>
      <c r="D6" s="9" t="inlineStr">
        <is>
          <t>12345-6</t>
        </is>
      </c>
      <c r="E6" s="9" t="inlineStr">
        <is>
          <t>Débito</t>
        </is>
      </c>
      <c r="F6" s="9" t="inlineStr">
        <is>
          <t>Boleto pago – Aluguel</t>
        </is>
      </c>
      <c r="G6" s="10" t="inlineStr">
        <is>
          <t>882731</t>
        </is>
      </c>
      <c r="H6" s="6" t="n">
        <v>2800</v>
      </c>
      <c r="I6" s="10">
        <f>SE(E6="Crédito";1;-1)</f>
        <v/>
      </c>
      <c r="J6" s="11">
        <f>H6*I6</f>
        <v/>
      </c>
      <c r="K6" s="12">
        <f>TEXTO(A6;"ddmmaaaa")&amp;"|"&amp;TEXTO(ABS(H6);"0,00")&amp;"|"&amp;ESQUERDA(F6;20)</f>
        <v/>
      </c>
      <c r="L6" s="10">
        <f>SE(M6&lt;&gt;"";"Conciliado";"Pendente")</f>
        <v/>
      </c>
      <c r="M6" s="10">
        <f>SEERRO(PROCV(K6;Mov_Empresa!$K:$N;4;FALSO);"")</f>
        <v/>
      </c>
      <c r="N6" s="11">
        <f>SE(M6="";"";J6-SEERRO(PROCV(K6;Mov_Empresa!$K:$L;2;FALSO);0))</f>
        <v/>
      </c>
    </row>
    <row r="7">
      <c r="A7" s="3" t="inlineStr">
        <is>
          <t>06/03/2026</t>
        </is>
      </c>
      <c r="B7" s="4" t="inlineStr">
        <is>
          <t>Itaú</t>
        </is>
      </c>
      <c r="C7" s="4" t="inlineStr">
        <is>
          <t>0341</t>
        </is>
      </c>
      <c r="D7" s="4" t="inlineStr">
        <is>
          <t>12345-6</t>
        </is>
      </c>
      <c r="E7" s="4" t="inlineStr">
        <is>
          <t>Crédito</t>
        </is>
      </c>
      <c r="F7" s="4" t="inlineStr">
        <is>
          <t>Recebimento NF-e 1325 – Ricardo Souza</t>
        </is>
      </c>
      <c r="G7" s="5" t="inlineStr">
        <is>
          <t>1325</t>
        </is>
      </c>
      <c r="H7" s="6" t="n">
        <v>3450</v>
      </c>
      <c r="I7" s="5">
        <f>SE(E7="Crédito";1;-1)</f>
        <v/>
      </c>
      <c r="J7" s="7">
        <f>H7*I7</f>
        <v/>
      </c>
      <c r="K7" s="8">
        <f>TEXTO(A7;"ddmmaaaa")&amp;"|"&amp;TEXTO(ABS(H7);"0,00")&amp;"|"&amp;ESQUERDA(F7;20)</f>
        <v/>
      </c>
      <c r="L7" s="5">
        <f>SE(M7&lt;&gt;"";"Conciliado";"Pendente")</f>
        <v/>
      </c>
      <c r="M7" s="5">
        <f>SEERRO(PROCV(K7;Mov_Empresa!$K:$N;4;FALSO);"")</f>
        <v/>
      </c>
      <c r="N7" s="7">
        <f>SE(M7="";"";J7-SEERRO(PROCV(K7;Mov_Empresa!$K:$L;2;FALSO);0))</f>
        <v/>
      </c>
    </row>
    <row r="8">
      <c r="A8" s="3" t="inlineStr">
        <is>
          <t>07/03/2026</t>
        </is>
      </c>
      <c r="B8" s="9" t="inlineStr">
        <is>
          <t>Itaú</t>
        </is>
      </c>
      <c r="C8" s="9" t="inlineStr">
        <is>
          <t>0341</t>
        </is>
      </c>
      <c r="D8" s="9" t="inlineStr">
        <is>
          <t>12345-6</t>
        </is>
      </c>
      <c r="E8" s="9" t="inlineStr">
        <is>
          <t>Débito</t>
        </is>
      </c>
      <c r="F8" s="9" t="inlineStr">
        <is>
          <t>Pagamento DARF Simples Nacional</t>
        </is>
      </c>
      <c r="G8" s="10" t="inlineStr">
        <is>
          <t>SN-202603</t>
        </is>
      </c>
      <c r="H8" s="6" t="n">
        <v>1120.34</v>
      </c>
      <c r="I8" s="10">
        <f>SE(E8="Crédito";1;-1)</f>
        <v/>
      </c>
      <c r="J8" s="11">
        <f>H8*I8</f>
        <v/>
      </c>
      <c r="K8" s="12">
        <f>TEXTO(A8;"ddmmaaaa")&amp;"|"&amp;TEXTO(ABS(H8);"0,00")&amp;"|"&amp;ESQUERDA(F8;20)</f>
        <v/>
      </c>
      <c r="L8" s="10">
        <f>SE(M8&lt;&gt;"";"Conciliado";"Pendente")</f>
        <v/>
      </c>
      <c r="M8" s="10">
        <f>SEERRO(PROCV(K8;Mov_Empresa!$K:$N;4;FALSO);"")</f>
        <v/>
      </c>
      <c r="N8" s="11">
        <f>SE(M8="";"";J8-SEERRO(PROCV(K8;Mov_Empresa!$K:$L;2;FALSO);0))</f>
        <v/>
      </c>
    </row>
    <row r="9">
      <c r="A9" s="3" t="inlineStr">
        <is>
          <t>08/03/2026</t>
        </is>
      </c>
      <c r="B9" s="4" t="inlineStr">
        <is>
          <t>Itaú</t>
        </is>
      </c>
      <c r="C9" s="4" t="inlineStr">
        <is>
          <t>0341</t>
        </is>
      </c>
      <c r="D9" s="4" t="inlineStr">
        <is>
          <t>12345-6</t>
        </is>
      </c>
      <c r="E9" s="4" t="inlineStr">
        <is>
          <t>Débito</t>
        </is>
      </c>
      <c r="F9" s="4" t="inlineStr">
        <is>
          <t>Pagamento GPS INSS</t>
        </is>
      </c>
      <c r="G9" s="5" t="inlineStr">
        <is>
          <t>INSS-03</t>
        </is>
      </c>
      <c r="H9" s="6" t="n">
        <v>2310.55</v>
      </c>
      <c r="I9" s="5">
        <f>SE(E9="Crédito";1;-1)</f>
        <v/>
      </c>
      <c r="J9" s="7">
        <f>H9*I9</f>
        <v/>
      </c>
      <c r="K9" s="8">
        <f>TEXTO(A9;"ddmmaaaa")&amp;"|"&amp;TEXTO(ABS(H9);"0,00")&amp;"|"&amp;ESQUERDA(F9;20)</f>
        <v/>
      </c>
      <c r="L9" s="5">
        <f>SE(M9&lt;&gt;"";"Conciliado";"Pendente")</f>
        <v/>
      </c>
      <c r="M9" s="5">
        <f>SEERRO(PROCV(K9;Mov_Empresa!$K:$N;4;FALSO);"")</f>
        <v/>
      </c>
      <c r="N9" s="7">
        <f>SE(M9="";"";J9-SEERRO(PROCV(K9;Mov_Empresa!$K:$L;2;FALSO);0))</f>
        <v/>
      </c>
    </row>
    <row r="10">
      <c r="A10" s="3" t="inlineStr">
        <is>
          <t>10/03/2026</t>
        </is>
      </c>
      <c r="B10" s="9" t="inlineStr">
        <is>
          <t>Itaú</t>
        </is>
      </c>
      <c r="C10" s="9" t="inlineStr">
        <is>
          <t>0341</t>
        </is>
      </c>
      <c r="D10" s="9" t="inlineStr">
        <is>
          <t>12345-6</t>
        </is>
      </c>
      <c r="E10" s="9" t="inlineStr">
        <is>
          <t>Crédito</t>
        </is>
      </c>
      <c r="F10" s="9" t="inlineStr">
        <is>
          <t>Recebimento Cartão – Rede</t>
        </is>
      </c>
      <c r="G10" s="10" t="inlineStr">
        <is>
          <t>RD-7712</t>
        </is>
      </c>
      <c r="H10" s="6" t="n">
        <v>1876.4</v>
      </c>
      <c r="I10" s="10">
        <f>SE(E10="Crédito";1;-1)</f>
        <v/>
      </c>
      <c r="J10" s="11">
        <f>H10*I10</f>
        <v/>
      </c>
      <c r="K10" s="12">
        <f>TEXTO(A10;"ddmmaaaa")&amp;"|"&amp;TEXTO(ABS(H10);"0,00")&amp;"|"&amp;ESQUERDA(F10;20)</f>
        <v/>
      </c>
      <c r="L10" s="10">
        <f>SE(M10&lt;&gt;"";"Conciliado";"Pendente")</f>
        <v/>
      </c>
      <c r="M10" s="10">
        <f>SEERRO(PROCV(K10;Mov_Empresa!$K:$N;4;FALSO);"")</f>
        <v/>
      </c>
      <c r="N10" s="11">
        <f>SE(M10="";"";J10-SEERRO(PROCV(K10;Mov_Empresa!$K:$L;2;FALSO);0))</f>
        <v/>
      </c>
    </row>
    <row r="11">
      <c r="A11" s="3" t="inlineStr">
        <is>
          <t>11/03/2026</t>
        </is>
      </c>
      <c r="B11" s="4" t="inlineStr">
        <is>
          <t>Itaú</t>
        </is>
      </c>
      <c r="C11" s="4" t="inlineStr">
        <is>
          <t>0341</t>
        </is>
      </c>
      <c r="D11" s="4" t="inlineStr">
        <is>
          <t>12345-6</t>
        </is>
      </c>
      <c r="E11" s="4" t="inlineStr">
        <is>
          <t>Débito</t>
        </is>
      </c>
      <c r="F11" s="4" t="inlineStr">
        <is>
          <t>Pix – Reembolso cliente (estorno)</t>
        </is>
      </c>
      <c r="G11" s="5" t="inlineStr">
        <is>
          <t>E2E-1188</t>
        </is>
      </c>
      <c r="H11" s="6" t="n">
        <v>150</v>
      </c>
      <c r="I11" s="5">
        <f>SE(E11="Crédito";1;-1)</f>
        <v/>
      </c>
      <c r="J11" s="7">
        <f>H11*I11</f>
        <v/>
      </c>
      <c r="K11" s="8">
        <f>TEXTO(A11;"ddmmaaaa")&amp;"|"&amp;TEXTO(ABS(H11);"0,00")&amp;"|"&amp;ESQUERDA(F11;20)</f>
        <v/>
      </c>
      <c r="L11" s="5">
        <f>SE(M11&lt;&gt;"";"Conciliado";"Pendente")</f>
        <v/>
      </c>
      <c r="M11" s="5">
        <f>SEERRO(PROCV(K11;Mov_Empresa!$K:$N;4;FALSO);"")</f>
        <v/>
      </c>
      <c r="N11" s="7">
        <f>SE(M11="";"";J11-SEERRO(PROCV(K11;Mov_Empresa!$K:$L;2;FALSO);0))</f>
        <v/>
      </c>
    </row>
    <row r="12" ht="18" customHeight="1">
      <c r="A12" s="13" t="inlineStr">
        <is>
          <t>TOTAIS</t>
        </is>
      </c>
      <c r="B12" s="14" t="n"/>
      <c r="C12" s="14" t="n"/>
      <c r="D12" s="14" t="n"/>
      <c r="E12" s="14" t="n"/>
      <c r="F12" s="14" t="n"/>
      <c r="G12" s="14" t="n"/>
      <c r="H12" s="15">
        <f>SUM(H3:H11)</f>
        <v/>
      </c>
      <c r="I12" s="14" t="n"/>
      <c r="J12" s="15">
        <f>SUM(J3:J11)</f>
        <v/>
      </c>
      <c r="K12" s="14" t="n"/>
      <c r="L12" s="13">
        <f>CONT.SE(L3:L11;"Conciliado")&amp;" Conciliados / "&amp;CONT.SE(L3:L11;"Pendente")&amp;" Pendentes"</f>
        <v/>
      </c>
      <c r="M12" s="14" t="n"/>
      <c r="N12" s="14" t="n"/>
    </row>
  </sheetData>
  <mergeCells count="1">
    <mergeCell ref="A1:N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N12"/>
  <sheetViews>
    <sheetView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14" customWidth="1" min="1" max="1"/>
    <col width="14" customWidth="1" min="2" max="2"/>
    <col width="13" customWidth="1" min="3" max="3"/>
    <col width="10" customWidth="1" min="4" max="4"/>
    <col width="18" customWidth="1" min="5" max="5"/>
    <col width="32" customWidth="1" min="6" max="6"/>
    <col width="20" customWidth="1" min="7" max="7"/>
    <col width="26" customWidth="1" min="8" max="8"/>
    <col width="15" customWidth="1" min="9" max="9"/>
    <col width="14" customWidth="1" min="10" max="10"/>
    <col width="38" customWidth="1" min="11" max="11"/>
    <col width="16" customWidth="1" min="12" max="12"/>
    <col width="18" customWidth="1" min="13" max="13"/>
    <col width="14" customWidth="1" min="14" max="14"/>
  </cols>
  <sheetData>
    <row r="1" ht="28" customHeight="1">
      <c r="A1" s="1" t="inlineStr">
        <is>
          <t>Movimentações da Empresa — Lançamentos Financeiros (Março/2026)</t>
        </is>
      </c>
    </row>
    <row r="2" ht="20" customHeight="1">
      <c r="A2" s="2" t="inlineStr">
        <is>
          <t>ID Lançamento</t>
        </is>
      </c>
      <c r="B2" s="2" t="inlineStr">
        <is>
          <t>Data (Empresa)</t>
        </is>
      </c>
      <c r="C2" s="2" t="inlineStr">
        <is>
          <t>Competência</t>
        </is>
      </c>
      <c r="D2" s="2" t="inlineStr">
        <is>
          <t>Tipo</t>
        </is>
      </c>
      <c r="E2" s="2" t="inlineStr">
        <is>
          <t>Categoria</t>
        </is>
      </c>
      <c r="F2" s="2" t="inlineStr">
        <is>
          <t>Favorecido/Cliente</t>
        </is>
      </c>
      <c r="G2" s="2" t="inlineStr">
        <is>
          <t>CPF/CNPJ</t>
        </is>
      </c>
      <c r="H2" s="2" t="inlineStr">
        <is>
          <t>Documento (NF-e/Boleto/PIX)</t>
        </is>
      </c>
      <c r="I2" s="2" t="inlineStr">
        <is>
          <t>Centro de Custo</t>
        </is>
      </c>
      <c r="J2" s="2" t="inlineStr">
        <is>
          <t>Valor (R$)</t>
        </is>
      </c>
      <c r="K2" s="2" t="inlineStr">
        <is>
          <t>Chave de Conciliação</t>
        </is>
      </c>
      <c r="L2" s="2" t="inlineStr">
        <is>
          <t>Valor Ajustado (R$)</t>
        </is>
      </c>
      <c r="M2" s="2" t="inlineStr">
        <is>
          <t>Encontrado no Banco?</t>
        </is>
      </c>
      <c r="N2" s="2" t="inlineStr">
        <is>
          <t>ID Banco</t>
        </is>
      </c>
    </row>
    <row r="3">
      <c r="A3" s="3" t="inlineStr">
        <is>
          <t>EMP-0001</t>
        </is>
      </c>
      <c r="B3" s="3" t="inlineStr">
        <is>
          <t>02/03/2026</t>
        </is>
      </c>
      <c r="C3" s="5">
        <f>TEXTO(B3;"mm/aaaa")</f>
        <v/>
      </c>
      <c r="D3" s="5" t="inlineStr">
        <is>
          <t>Despesa</t>
        </is>
      </c>
      <c r="E3" s="4" t="inlineStr">
        <is>
          <t>Fornecedores</t>
        </is>
      </c>
      <c r="F3" s="4" t="inlineStr">
        <is>
          <t>Papelaria Vitória Ltda</t>
        </is>
      </c>
      <c r="G3" s="5" t="inlineStr">
        <is>
          <t>12.345.678/0001-90</t>
        </is>
      </c>
      <c r="H3" s="5" t="inlineStr">
        <is>
          <t>584129</t>
        </is>
      </c>
      <c r="I3" s="5" t="inlineStr">
        <is>
          <t>Operações</t>
        </is>
      </c>
      <c r="J3" s="6" t="n">
        <v>1245.9</v>
      </c>
      <c r="K3" s="8">
        <f>TEXTO(B3;"ddmmaaaa")&amp;"|"&amp;TEXTO(ABS(J3);"0,00")&amp;"|"&amp;ESQUERDA(F3;20)</f>
        <v/>
      </c>
      <c r="L3" s="7">
        <f>SE(D3="Receita";J3;-J3)</f>
        <v/>
      </c>
      <c r="M3" s="5">
        <f>SE(N3&lt;&gt;"";"Sim";"Não")</f>
        <v/>
      </c>
      <c r="N3" s="5">
        <f>SEERRO(PROCV(K3;Mov_Banco!$K:$M;3;FALSO);"")</f>
        <v/>
      </c>
    </row>
    <row r="4">
      <c r="A4" s="3" t="inlineStr">
        <is>
          <t>EMP-0002</t>
        </is>
      </c>
      <c r="B4" s="3" t="inlineStr">
        <is>
          <t>03/03/2026</t>
        </is>
      </c>
      <c r="C4" s="10">
        <f>TEXTO(B4;"mm/aaaa")</f>
        <v/>
      </c>
      <c r="D4" s="10" t="inlineStr">
        <is>
          <t>Receita</t>
        </is>
      </c>
      <c r="E4" s="9" t="inlineStr">
        <is>
          <t>Vendas</t>
        </is>
      </c>
      <c r="F4" s="9" t="inlineStr">
        <is>
          <t>Maria Oliveira</t>
        </is>
      </c>
      <c r="G4" s="10" t="inlineStr">
        <is>
          <t>123.456.789-00</t>
        </is>
      </c>
      <c r="H4" s="10" t="inlineStr">
        <is>
          <t>E2E-9032</t>
        </is>
      </c>
      <c r="I4" s="10" t="inlineStr">
        <is>
          <t>Comercial</t>
        </is>
      </c>
      <c r="J4" s="6" t="n">
        <v>980</v>
      </c>
      <c r="K4" s="12">
        <f>TEXTO(B4;"ddmmaaaa")&amp;"|"&amp;TEXTO(ABS(J4);"0,00")&amp;"|"&amp;ESQUERDA(F4;20)</f>
        <v/>
      </c>
      <c r="L4" s="11">
        <f>SE(D4="Receita";J4;-J4)</f>
        <v/>
      </c>
      <c r="M4" s="10">
        <f>SE(N4&lt;&gt;"";"Sim";"Não")</f>
        <v/>
      </c>
      <c r="N4" s="10">
        <f>SEERRO(PROCV(K4;Mov_Banco!$K:$M;3;FALSO);"")</f>
        <v/>
      </c>
    </row>
    <row r="5">
      <c r="A5" s="3" t="inlineStr">
        <is>
          <t>EMP-0003</t>
        </is>
      </c>
      <c r="B5" s="3" t="inlineStr">
        <is>
          <t>04/03/2026</t>
        </is>
      </c>
      <c r="C5" s="5">
        <f>TEXTO(B5;"mm/aaaa")</f>
        <v/>
      </c>
      <c r="D5" s="5" t="inlineStr">
        <is>
          <t>Despesa</t>
        </is>
      </c>
      <c r="E5" s="4" t="inlineStr">
        <is>
          <t>Tarifas</t>
        </is>
      </c>
      <c r="F5" s="4" t="inlineStr">
        <is>
          <t>Itaú Banco S.A.</t>
        </is>
      </c>
      <c r="G5" s="5" t="inlineStr">
        <is>
          <t>60.872.504/0001-23</t>
        </is>
      </c>
      <c r="H5" s="5" t="inlineStr">
        <is>
          <t>TAR-033</t>
        </is>
      </c>
      <c r="I5" s="5" t="inlineStr">
        <is>
          <t>Administrativo</t>
        </is>
      </c>
      <c r="J5" s="6" t="n">
        <v>59.9</v>
      </c>
      <c r="K5" s="8">
        <f>TEXTO(B5;"ddmmaaaa")&amp;"|"&amp;TEXTO(ABS(J5);"0,00")&amp;"|"&amp;ESQUERDA(F5;20)</f>
        <v/>
      </c>
      <c r="L5" s="7">
        <f>SE(D5="Receita";J5;-J5)</f>
        <v/>
      </c>
      <c r="M5" s="5">
        <f>SE(N5&lt;&gt;"";"Sim";"Não")</f>
        <v/>
      </c>
      <c r="N5" s="5">
        <f>SEERRO(PROCV(K5;Mov_Banco!$K:$M;3;FALSO);"")</f>
        <v/>
      </c>
    </row>
    <row r="6">
      <c r="A6" s="3" t="inlineStr">
        <is>
          <t>EMP-0004</t>
        </is>
      </c>
      <c r="B6" s="3" t="inlineStr">
        <is>
          <t>05/03/2026</t>
        </is>
      </c>
      <c r="C6" s="10">
        <f>TEXTO(B6;"mm/aaaa")</f>
        <v/>
      </c>
      <c r="D6" s="10" t="inlineStr">
        <is>
          <t>Despesa</t>
        </is>
      </c>
      <c r="E6" s="9" t="inlineStr">
        <is>
          <t>Aluguel</t>
        </is>
      </c>
      <c r="F6" s="9" t="inlineStr">
        <is>
          <t>Imobiliária Boa Vista</t>
        </is>
      </c>
      <c r="G6" s="10" t="inlineStr">
        <is>
          <t>98.765.432/0001-10</t>
        </is>
      </c>
      <c r="H6" s="10" t="inlineStr">
        <is>
          <t>882731</t>
        </is>
      </c>
      <c r="I6" s="10" t="inlineStr">
        <is>
          <t>Administrativo</t>
        </is>
      </c>
      <c r="J6" s="6" t="n">
        <v>2800</v>
      </c>
      <c r="K6" s="12">
        <f>TEXTO(B6;"ddmmaaaa")&amp;"|"&amp;TEXTO(ABS(J6);"0,00")&amp;"|"&amp;ESQUERDA(F6;20)</f>
        <v/>
      </c>
      <c r="L6" s="11">
        <f>SE(D6="Receita";J6;-J6)</f>
        <v/>
      </c>
      <c r="M6" s="10">
        <f>SE(N6&lt;&gt;"";"Sim";"Não")</f>
        <v/>
      </c>
      <c r="N6" s="10">
        <f>SEERRO(PROCV(K6;Mov_Banco!$K:$M;3;FALSO);"")</f>
        <v/>
      </c>
    </row>
    <row r="7">
      <c r="A7" s="3" t="inlineStr">
        <is>
          <t>EMP-0005</t>
        </is>
      </c>
      <c r="B7" s="3" t="inlineStr">
        <is>
          <t>06/03/2026</t>
        </is>
      </c>
      <c r="C7" s="5">
        <f>TEXTO(B7;"mm/aaaa")</f>
        <v/>
      </c>
      <c r="D7" s="5" t="inlineStr">
        <is>
          <t>Receita</t>
        </is>
      </c>
      <c r="E7" s="4" t="inlineStr">
        <is>
          <t>Vendas</t>
        </is>
      </c>
      <c r="F7" s="4" t="inlineStr">
        <is>
          <t>Ricardo Souza</t>
        </is>
      </c>
      <c r="G7" s="5" t="inlineStr">
        <is>
          <t>987.654.321-00</t>
        </is>
      </c>
      <c r="H7" s="5" t="inlineStr">
        <is>
          <t>1325</t>
        </is>
      </c>
      <c r="I7" s="5" t="inlineStr">
        <is>
          <t>Comercial</t>
        </is>
      </c>
      <c r="J7" s="6" t="n">
        <v>3450</v>
      </c>
      <c r="K7" s="8">
        <f>TEXTO(B7;"ddmmaaaa")&amp;"|"&amp;TEXTO(ABS(J7);"0,00")&amp;"|"&amp;ESQUERDA(F7;20)</f>
        <v/>
      </c>
      <c r="L7" s="7">
        <f>SE(D7="Receita";J7;-J7)</f>
        <v/>
      </c>
      <c r="M7" s="5">
        <f>SE(N7&lt;&gt;"";"Sim";"Não")</f>
        <v/>
      </c>
      <c r="N7" s="5">
        <f>SEERRO(PROCV(K7;Mov_Banco!$K:$M;3;FALSO);"")</f>
        <v/>
      </c>
    </row>
    <row r="8">
      <c r="A8" s="3" t="inlineStr">
        <is>
          <t>EMP-0006</t>
        </is>
      </c>
      <c r="B8" s="3" t="inlineStr">
        <is>
          <t>07/03/2026</t>
        </is>
      </c>
      <c r="C8" s="10">
        <f>TEXTO(B8;"mm/aaaa")</f>
        <v/>
      </c>
      <c r="D8" s="10" t="inlineStr">
        <is>
          <t>Despesa</t>
        </is>
      </c>
      <c r="E8" s="9" t="inlineStr">
        <is>
          <t>Tributos</t>
        </is>
      </c>
      <c r="F8" s="9" t="inlineStr">
        <is>
          <t>Receita Federal – Simples Nacional</t>
        </is>
      </c>
      <c r="G8" s="10" t="inlineStr">
        <is>
          <t>00.394.460/0001-41</t>
        </is>
      </c>
      <c r="H8" s="10" t="inlineStr">
        <is>
          <t>SN-202603</t>
        </is>
      </c>
      <c r="I8" s="10" t="inlineStr">
        <is>
          <t>Administrativo</t>
        </is>
      </c>
      <c r="J8" s="6" t="n">
        <v>1120.34</v>
      </c>
      <c r="K8" s="12">
        <f>TEXTO(B8;"ddmmaaaa")&amp;"|"&amp;TEXTO(ABS(J8);"0,00")&amp;"|"&amp;ESQUERDA(F8;20)</f>
        <v/>
      </c>
      <c r="L8" s="11">
        <f>SE(D8="Receita";J8;-J8)</f>
        <v/>
      </c>
      <c r="M8" s="10">
        <f>SE(N8&lt;&gt;"";"Sim";"Não")</f>
        <v/>
      </c>
      <c r="N8" s="10">
        <f>SEERRO(PROCV(K8;Mov_Banco!$K:$M;3;FALSO);"")</f>
        <v/>
      </c>
    </row>
    <row r="9">
      <c r="A9" s="3" t="inlineStr">
        <is>
          <t>EMP-0007</t>
        </is>
      </c>
      <c r="B9" s="3" t="inlineStr">
        <is>
          <t>08/03/2026</t>
        </is>
      </c>
      <c r="C9" s="5">
        <f>TEXTO(B9;"mm/aaaa")</f>
        <v/>
      </c>
      <c r="D9" s="5" t="inlineStr">
        <is>
          <t>Despesa</t>
        </is>
      </c>
      <c r="E9" s="4" t="inlineStr">
        <is>
          <t>Folha</t>
        </is>
      </c>
      <c r="F9" s="4" t="inlineStr">
        <is>
          <t>INSS/GPS – Previdência Social</t>
        </is>
      </c>
      <c r="G9" s="5" t="inlineStr">
        <is>
          <t>29.979.036/0001-40</t>
        </is>
      </c>
      <c r="H9" s="5" t="inlineStr">
        <is>
          <t>INSS-03</t>
        </is>
      </c>
      <c r="I9" s="5" t="inlineStr">
        <is>
          <t>Administrativo</t>
        </is>
      </c>
      <c r="J9" s="6" t="n">
        <v>2310.55</v>
      </c>
      <c r="K9" s="8">
        <f>TEXTO(B9;"ddmmaaaa")&amp;"|"&amp;TEXTO(ABS(J9);"0,00")&amp;"|"&amp;ESQUERDA(F9;20)</f>
        <v/>
      </c>
      <c r="L9" s="7">
        <f>SE(D9="Receita";J9;-J9)</f>
        <v/>
      </c>
      <c r="M9" s="5">
        <f>SE(N9&lt;&gt;"";"Sim";"Não")</f>
        <v/>
      </c>
      <c r="N9" s="5">
        <f>SEERRO(PROCV(K9;Mov_Banco!$K:$M;3;FALSO);"")</f>
        <v/>
      </c>
    </row>
    <row r="10">
      <c r="A10" s="3" t="inlineStr">
        <is>
          <t>EMP-0008</t>
        </is>
      </c>
      <c r="B10" s="3" t="inlineStr">
        <is>
          <t>10/03/2026</t>
        </is>
      </c>
      <c r="C10" s="10">
        <f>TEXTO(B10;"mm/aaaa")</f>
        <v/>
      </c>
      <c r="D10" s="10" t="inlineStr">
        <is>
          <t>Receita</t>
        </is>
      </c>
      <c r="E10" s="9" t="inlineStr">
        <is>
          <t>Vendas</t>
        </is>
      </c>
      <c r="F10" s="9" t="inlineStr">
        <is>
          <t>Rede Adquirência S.A.</t>
        </is>
      </c>
      <c r="G10" s="10" t="inlineStr">
        <is>
          <t>01.425.787/0001-04</t>
        </is>
      </c>
      <c r="H10" s="10" t="inlineStr">
        <is>
          <t>RD-7712</t>
        </is>
      </c>
      <c r="I10" s="10" t="inlineStr">
        <is>
          <t>Comercial</t>
        </is>
      </c>
      <c r="J10" s="6" t="n">
        <v>1876.4</v>
      </c>
      <c r="K10" s="12">
        <f>TEXTO(B10;"ddmmaaaa")&amp;"|"&amp;TEXTO(ABS(J10);"0,00")&amp;"|"&amp;ESQUERDA(F10;20)</f>
        <v/>
      </c>
      <c r="L10" s="11">
        <f>SE(D10="Receita";J10;-J10)</f>
        <v/>
      </c>
      <c r="M10" s="10">
        <f>SE(N10&lt;&gt;"";"Sim";"Não")</f>
        <v/>
      </c>
      <c r="N10" s="10">
        <f>SEERRO(PROCV(K10;Mov_Banco!$K:$M;3;FALSO);"")</f>
        <v/>
      </c>
    </row>
    <row r="11">
      <c r="A11" s="3" t="inlineStr">
        <is>
          <t>EMP-0009</t>
        </is>
      </c>
      <c r="B11" s="3" t="inlineStr">
        <is>
          <t>15/03/2026</t>
        </is>
      </c>
      <c r="C11" s="5">
        <f>TEXTO(B11;"mm/aaaa")</f>
        <v/>
      </c>
      <c r="D11" s="5" t="inlineStr">
        <is>
          <t>Despesa</t>
        </is>
      </c>
      <c r="E11" s="4" t="inlineStr">
        <is>
          <t>Fornecedores</t>
        </is>
      </c>
      <c r="F11" s="4" t="inlineStr">
        <is>
          <t>TechSuprimentos Brasil Ltda</t>
        </is>
      </c>
      <c r="G11" s="5" t="inlineStr">
        <is>
          <t>55.123.000/0001-88</t>
        </is>
      </c>
      <c r="H11" s="5" t="inlineStr">
        <is>
          <t>NF-4412</t>
        </is>
      </c>
      <c r="I11" s="5" t="inlineStr">
        <is>
          <t>Operações</t>
        </is>
      </c>
      <c r="J11" s="6" t="n">
        <v>620</v>
      </c>
      <c r="K11" s="8">
        <f>TEXTO(B11;"ddmmaaaa")&amp;"|"&amp;TEXTO(ABS(J11);"0,00")&amp;"|"&amp;ESQUERDA(F11;20)</f>
        <v/>
      </c>
      <c r="L11" s="7">
        <f>SE(D11="Receita";J11;-J11)</f>
        <v/>
      </c>
      <c r="M11" s="5">
        <f>SE(N11&lt;&gt;"";"Sim";"Não")</f>
        <v/>
      </c>
      <c r="N11" s="5">
        <f>SEERRO(PROCV(K11;Mov_Banco!$K:$M;3;FALSO);"")</f>
        <v/>
      </c>
    </row>
    <row r="12">
      <c r="A12" s="13" t="inlineStr">
        <is>
          <t>TOTAIS</t>
        </is>
      </c>
      <c r="B12" s="14" t="n"/>
      <c r="C12" s="14" t="n"/>
      <c r="D12" s="14" t="n"/>
      <c r="E12" s="14" t="n"/>
      <c r="F12" s="14" t="n"/>
      <c r="G12" s="14" t="n"/>
      <c r="H12" s="14" t="n"/>
      <c r="I12" s="14" t="n"/>
      <c r="J12" s="15">
        <f>SUM(J3:J11)</f>
        <v/>
      </c>
      <c r="K12" s="14" t="n"/>
      <c r="L12" s="15">
        <f>SUM(L3:L11)</f>
        <v/>
      </c>
      <c r="M12" s="13">
        <f>CONT.SE(M3:M11;"Sim")&amp;" Encontrados / "&amp;CONT.SE(M3:M11;"Não")&amp;" Não Encontrados"</f>
        <v/>
      </c>
      <c r="N12" s="14" t="n"/>
    </row>
  </sheetData>
  <mergeCells count="1">
    <mergeCell ref="A1:N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L29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22" customWidth="1" min="1" max="1"/>
    <col width="16" customWidth="1" min="2" max="2"/>
    <col width="16" customWidth="1" min="3" max="3"/>
    <col width="14" customWidth="1" min="4" max="4"/>
    <col width="12" customWidth="1" min="5" max="5"/>
    <col width="2" customWidth="1" min="6" max="6"/>
    <col width="14" customWidth="1" min="7" max="7"/>
    <col width="14" customWidth="1" min="8" max="8"/>
    <col width="14" customWidth="1" min="9" max="9"/>
    <col width="14" customWidth="1" min="10" max="10"/>
    <col width="2" customWidth="1" min="11" max="11"/>
    <col width="2" customWidth="1" min="12" max="12"/>
  </cols>
  <sheetData>
    <row r="1" ht="36" customHeight="1">
      <c r="A1" s="16" t="inlineStr">
        <is>
          <t>Painel de Conciliação Bancária — Março/2026</t>
        </is>
      </c>
    </row>
    <row r="2" ht="20" customHeight="1">
      <c r="A2" s="17" t="inlineStr">
        <is>
          <t>INSTRUÇÕES DE USO</t>
        </is>
      </c>
    </row>
    <row r="3" ht="18" customHeight="1">
      <c r="A3" s="18" t="inlineStr">
        <is>
          <t>• Aba Mov_Banco: insira as transações do extrato bancário nas colunas amarelas (A e H). As demais colunas são calculadas automaticamente.</t>
        </is>
      </c>
    </row>
    <row r="4" ht="18" customHeight="1">
      <c r="A4" s="18" t="inlineStr">
        <is>
          <t>• Aba Mov_Empresa: insira os lançamentos do financeiro/ERP nas colunas amarelas (A, B, J). As fórmulas geram a chave e o cruzamento.</t>
        </is>
      </c>
    </row>
    <row r="5" ht="18" customHeight="1">
      <c r="A5" s="19" t="inlineStr">
        <is>
          <t>• A Chave de Conciliação (col. K em ambas) cruza os registros por data + valor + início do histórico.</t>
        </is>
      </c>
    </row>
    <row r="6" ht="18" customHeight="1">
      <c r="A6" s="19" t="inlineStr">
        <is>
          <t>• Status 'Conciliado' = chave foi encontrada na contraparte. 'Pendente' = não localizada — verifique divergências.</t>
        </is>
      </c>
    </row>
    <row r="7" ht="18" customHeight="1">
      <c r="A7" s="19" t="inlineStr">
        <is>
          <t>• Coluna Diferença (Mov_Banco N) = Valor Ajustado Banco – Valor Ajustado Empresa. Deve ser zero quando conciliado.</t>
        </is>
      </c>
    </row>
    <row r="9" ht="22" customHeight="1">
      <c r="A9" s="13" t="inlineStr">
        <is>
          <t>INDICADORES GERAIS — CONCILIAÇÃO BANCÁRIA</t>
        </is>
      </c>
    </row>
    <row r="10" ht="22" customHeight="1">
      <c r="A10" s="20" t="inlineStr">
        <is>
          <t>Total Créditos (Banco)</t>
        </is>
      </c>
      <c r="C10" s="21">
        <f>SOMASE(Mov_Banco!E3:E11;"Crédito";Mov_Banco!H3:H11)</f>
        <v/>
      </c>
      <c r="G10" s="20" t="inlineStr">
        <is>
          <t>Total Débitos (Banco)</t>
        </is>
      </c>
      <c r="I10" s="21">
        <f>SOMASE(Mov_Banco!E3:E11;"Débito";Mov_Banco!H3:H11)</f>
        <v/>
      </c>
    </row>
    <row r="12" ht="22" customHeight="1">
      <c r="A12" s="20" t="inlineStr">
        <is>
          <t>Saldo Líquido (Banco)</t>
        </is>
      </c>
      <c r="C12" s="21">
        <f>SOMASE(Mov_Banco!J3:J11;"&lt;&gt;0";Mov_Banco!J3:J11)</f>
        <v/>
      </c>
      <c r="G12" s="20" t="inlineStr">
        <is>
          <t>Total Receitas (Empresa)</t>
        </is>
      </c>
      <c r="I12" s="21">
        <f>SOMASE(Mov_Empresa!D3:D11;"Receita";Mov_Empresa!J3:J11)</f>
        <v/>
      </c>
    </row>
    <row r="14" ht="22" customHeight="1">
      <c r="A14" s="20" t="inlineStr">
        <is>
          <t>Total Despesas (Empresa)</t>
        </is>
      </c>
      <c r="C14" s="21">
        <f>SOMASE(Mov_Empresa!D3:D11;"Despesa";Mov_Empresa!J3:J11)</f>
        <v/>
      </c>
      <c r="G14" s="20" t="inlineStr">
        <is>
          <t>Saldo Líquido (Empresa)</t>
        </is>
      </c>
      <c r="I14" s="21">
        <f>SUM(Mov_Empresa!L3:L11)</f>
        <v/>
      </c>
    </row>
    <row r="16" ht="22" customHeight="1">
      <c r="A16" s="20" t="inlineStr">
        <is>
          <t>Registros Conciliados</t>
        </is>
      </c>
      <c r="C16" s="22">
        <f>CONT.SE(Mov_Banco!L3:L11;"Conciliado")</f>
        <v/>
      </c>
      <c r="G16" s="20" t="inlineStr">
        <is>
          <t>Registros Pendentes</t>
        </is>
      </c>
      <c r="I16" s="22">
        <f>CONT.SE(Mov_Banco!L3:L11;"Pendente")</f>
        <v/>
      </c>
    </row>
    <row r="18" ht="22" customHeight="1">
      <c r="A18" s="20" t="inlineStr">
        <is>
          <t>% Conciliação</t>
        </is>
      </c>
      <c r="C18" s="23">
        <f>SE((CONT.SE(Mov_Banco!L3:L11;"Conciliado")+CONT.SE(Mov_Banco!L3:L11;"Pendente"))&gt;0;CONT.SE(Mov_Banco!L3:L11;"Conciliado")/(CONT.SE(Mov_Banco!L3:L11;"Conciliado")+CONT.SE(Mov_Banco!L3:L11;"Pendente"));"")</f>
        <v/>
      </c>
      <c r="G18" s="20" t="inlineStr">
        <is>
          <t>Diferença Total (R$)</t>
        </is>
      </c>
      <c r="I18" s="21">
        <f>SOMARPRODUTO((Mov_Banco!M3:M11&lt;&gt;"")*1;Mov_Banco!J3:J11)-SOMARPRODUTO((Mov_Empresa!N3:N11&lt;&gt;"")*1;Mov_Empresa!L3:L11)</f>
        <v/>
      </c>
    </row>
    <row r="21" ht="20" customHeight="1">
      <c r="A21" s="2" t="inlineStr">
        <is>
          <t>RESUMO POR CATEGORIA — EMPRESA</t>
        </is>
      </c>
      <c r="G21" s="2" t="inlineStr">
        <is>
          <t>STATUS DE CONCILIAÇÃO</t>
        </is>
      </c>
    </row>
    <row r="22">
      <c r="A22" s="13" t="inlineStr">
        <is>
          <t>Categoria</t>
        </is>
      </c>
      <c r="B22" s="13" t="inlineStr">
        <is>
          <t>Receitas (R$)</t>
        </is>
      </c>
      <c r="C22" s="13" t="inlineStr">
        <is>
          <t>Despesas (R$)</t>
        </is>
      </c>
      <c r="D22" s="13" t="inlineStr">
        <is>
          <t>Saldo (R$)</t>
        </is>
      </c>
      <c r="E22" s="13" t="inlineStr">
        <is>
          <t>% do Total</t>
        </is>
      </c>
      <c r="G22" s="13" t="inlineStr">
        <is>
          <t>Status</t>
        </is>
      </c>
      <c r="H22" s="13" t="inlineStr">
        <is>
          <t>Qtde (Banco)</t>
        </is>
      </c>
      <c r="I22" s="13" t="inlineStr">
        <is>
          <t>Qtde (Empresa)</t>
        </is>
      </c>
      <c r="J22" s="13" t="inlineStr">
        <is>
          <t>Valor (R$)</t>
        </is>
      </c>
    </row>
    <row r="23" ht="18" customHeight="1">
      <c r="A23" s="9" t="inlineStr">
        <is>
          <t>Vendas</t>
        </is>
      </c>
      <c r="B23" s="11">
        <f>SOMASES(Mov_Empresa!$J$3:$J$11;Mov_Empresa!$D$3:$D$11;"Receita";Mov_Empresa!$E$3:$E$11;A23)</f>
        <v/>
      </c>
      <c r="C23" s="11">
        <f>SOMASES(Mov_Empresa!$J$3:$J$11;Mov_Empresa!$D$3:$D$11;"Despesa";Mov_Empresa!$E$3:$E$11;A23)</f>
        <v/>
      </c>
      <c r="D23" s="11">
        <f>B23-C23</f>
        <v/>
      </c>
      <c r="E23" s="24">
        <f>SE(SUM($C$23:$C$28)&gt;0;C23/SUM($C$23:$C$28);0)</f>
        <v/>
      </c>
      <c r="G23" s="10" t="inlineStr">
        <is>
          <t>Conciliado</t>
        </is>
      </c>
      <c r="H23" s="10">
        <f>CONT.SE(Mov_Banco!L3:L11;"Conciliado")</f>
        <v/>
      </c>
      <c r="I23" s="10">
        <f>CONT.SE(Mov_Empresa!M3:M11;"Sim")</f>
        <v/>
      </c>
      <c r="J23" s="11">
        <f>SOMASE(Mov_Banco!L3:L11;"Conciliado";Mov_Banco!H3:H11)</f>
        <v/>
      </c>
    </row>
    <row r="24" ht="18" customHeight="1">
      <c r="A24" s="4" t="inlineStr">
        <is>
          <t>Fornecedores</t>
        </is>
      </c>
      <c r="B24" s="7">
        <f>SOMASES(Mov_Empresa!$J$3:$J$11;Mov_Empresa!$D$3:$D$11;"Receita";Mov_Empresa!$E$3:$E$11;A24)</f>
        <v/>
      </c>
      <c r="C24" s="7">
        <f>SOMASES(Mov_Empresa!$J$3:$J$11;Mov_Empresa!$D$3:$D$11;"Despesa";Mov_Empresa!$E$3:$E$11;A24)</f>
        <v/>
      </c>
      <c r="D24" s="7">
        <f>B24-C24</f>
        <v/>
      </c>
      <c r="E24" s="25">
        <f>SE(SUM($C$23:$C$28)&gt;0;C24/SUM($C$23:$C$28);0)</f>
        <v/>
      </c>
      <c r="G24" s="5" t="inlineStr">
        <is>
          <t>Pendente</t>
        </is>
      </c>
      <c r="H24" s="5">
        <f>CONT.SE(Mov_Banco!L3:L11;"Pendente")</f>
        <v/>
      </c>
      <c r="I24" s="5">
        <f>CONT.SE(Mov_Empresa!M3:M11;"Não")</f>
        <v/>
      </c>
      <c r="J24" s="7">
        <f>SOMASE(Mov_Banco!L3:L11;"Pendente";Mov_Banco!H3:H11)</f>
        <v/>
      </c>
    </row>
    <row r="25" ht="18" customHeight="1">
      <c r="A25" s="9" t="inlineStr">
        <is>
          <t>Tributos</t>
        </is>
      </c>
      <c r="B25" s="11">
        <f>SOMASES(Mov_Empresa!$J$3:$J$11;Mov_Empresa!$D$3:$D$11;"Receita";Mov_Empresa!$E$3:$E$11;A25)</f>
        <v/>
      </c>
      <c r="C25" s="11">
        <f>SOMASES(Mov_Empresa!$J$3:$J$11;Mov_Empresa!$D$3:$D$11;"Despesa";Mov_Empresa!$E$3:$E$11;A25)</f>
        <v/>
      </c>
      <c r="D25" s="11">
        <f>B25-C25</f>
        <v/>
      </c>
      <c r="E25" s="24">
        <f>SE(SUM($C$23:$C$28)&gt;0;C25/SUM($C$23:$C$28);0)</f>
        <v/>
      </c>
    </row>
    <row r="26" ht="18" customHeight="1">
      <c r="A26" s="4" t="inlineStr">
        <is>
          <t>Tarifas</t>
        </is>
      </c>
      <c r="B26" s="7">
        <f>SOMASES(Mov_Empresa!$J$3:$J$11;Mov_Empresa!$D$3:$D$11;"Receita";Mov_Empresa!$E$3:$E$11;A26)</f>
        <v/>
      </c>
      <c r="C26" s="7">
        <f>SOMASES(Mov_Empresa!$J$3:$J$11;Mov_Empresa!$D$3:$D$11;"Despesa";Mov_Empresa!$E$3:$E$11;A26)</f>
        <v/>
      </c>
      <c r="D26" s="7">
        <f>B26-C26</f>
        <v/>
      </c>
      <c r="E26" s="25">
        <f>SE(SUM($C$23:$C$28)&gt;0;C26/SUM($C$23:$C$28);0)</f>
        <v/>
      </c>
    </row>
    <row r="27" ht="18" customHeight="1">
      <c r="A27" s="9" t="inlineStr">
        <is>
          <t>Aluguel</t>
        </is>
      </c>
      <c r="B27" s="11">
        <f>SOMASES(Mov_Empresa!$J$3:$J$11;Mov_Empresa!$D$3:$D$11;"Receita";Mov_Empresa!$E$3:$E$11;A27)</f>
        <v/>
      </c>
      <c r="C27" s="11">
        <f>SOMASES(Mov_Empresa!$J$3:$J$11;Mov_Empresa!$D$3:$D$11;"Despesa";Mov_Empresa!$E$3:$E$11;A27)</f>
        <v/>
      </c>
      <c r="D27" s="11">
        <f>B27-C27</f>
        <v/>
      </c>
      <c r="E27" s="24">
        <f>SE(SUM($C$23:$C$28)&gt;0;C27/SUM($C$23:$C$28);0)</f>
        <v/>
      </c>
    </row>
    <row r="28" ht="18" customHeight="1">
      <c r="A28" s="4" t="inlineStr">
        <is>
          <t>Folha</t>
        </is>
      </c>
      <c r="B28" s="7">
        <f>SOMASES(Mov_Empresa!$J$3:$J$11;Mov_Empresa!$D$3:$D$11;"Receita";Mov_Empresa!$E$3:$E$11;A28)</f>
        <v/>
      </c>
      <c r="C28" s="7">
        <f>SOMASES(Mov_Empresa!$J$3:$J$11;Mov_Empresa!$D$3:$D$11;"Despesa";Mov_Empresa!$E$3:$E$11;A28)</f>
        <v/>
      </c>
      <c r="D28" s="7">
        <f>B28-C28</f>
        <v/>
      </c>
      <c r="E28" s="25">
        <f>SE(SUM($C$23:$C$28)&gt;0;C28/SUM($C$23:$C$28);0)</f>
        <v/>
      </c>
    </row>
    <row r="29" ht="20" customHeight="1">
      <c r="A29" s="13" t="inlineStr">
        <is>
          <t>TOTAL</t>
        </is>
      </c>
      <c r="B29" s="15">
        <f>SUM(B23:B28)</f>
        <v/>
      </c>
      <c r="C29" s="15">
        <f>SUM(C23:C28)</f>
        <v/>
      </c>
      <c r="D29" s="15">
        <f>SUM(D23:D28)</f>
        <v/>
      </c>
      <c r="E29" s="14" t="inlineStr">
        <is>
          <t>100,0%</t>
        </is>
      </c>
    </row>
  </sheetData>
  <mergeCells count="30">
    <mergeCell ref="A1:L1"/>
    <mergeCell ref="A2:L2"/>
    <mergeCell ref="A3:L3"/>
    <mergeCell ref="A4:L4"/>
    <mergeCell ref="A5:L5"/>
    <mergeCell ref="A6:L6"/>
    <mergeCell ref="A7:L7"/>
    <mergeCell ref="A9:L9"/>
    <mergeCell ref="A10:B10"/>
    <mergeCell ref="C10:E10"/>
    <mergeCell ref="G10:H10"/>
    <mergeCell ref="I10:K10"/>
    <mergeCell ref="A12:B12"/>
    <mergeCell ref="C12:E12"/>
    <mergeCell ref="G12:H12"/>
    <mergeCell ref="I12:K12"/>
    <mergeCell ref="A14:B14"/>
    <mergeCell ref="C14:E14"/>
    <mergeCell ref="G14:H14"/>
    <mergeCell ref="I14:K14"/>
    <mergeCell ref="A16:B16"/>
    <mergeCell ref="C16:E16"/>
    <mergeCell ref="G16:H16"/>
    <mergeCell ref="I16:K16"/>
    <mergeCell ref="A18:B18"/>
    <mergeCell ref="C18:E18"/>
    <mergeCell ref="G18:H18"/>
    <mergeCell ref="I18:K18"/>
    <mergeCell ref="A21:E21"/>
    <mergeCell ref="G21:J21"/>
  </mergeCells>
  <pageMargins left="0.75" right="0.75" top="1" bottom="1" header="0.5" footer="0.5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2026-04-20T10:00:25Z</dcterms:created>
  <dcterms:modified xmlns:dcterms="http://purl.org/dc/terms/" xmlns:xsi="http://www.w3.org/2001/XMLSchema-instance" xsi:type="dcterms:W3CDTF">2026-04-20T10:00:25Z</dcterms:modified>
</cp:coreProperties>
</file>