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e_Fiscal" sheetId="1" state="visible" r:id="rId1"/>
    <sheet xmlns:r="http://schemas.openxmlformats.org/officeDocument/2006/relationships" name="Resumo_Tributário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1F2937"/>
      <sz val="10"/>
    </font>
    <font>
      <name val="Calibri"/>
      <b val="1"/>
      <color rgb="00FFFFFF"/>
      <sz val="10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color rgb="000F766E"/>
      <sz val="13"/>
    </font>
    <font>
      <name val="Calibri"/>
      <b val="1"/>
      <color rgb="00FFFFFF"/>
      <sz val="15"/>
    </font>
    <font>
      <name val="Calibri"/>
      <color rgb="006B7280"/>
      <sz val="10"/>
    </font>
    <font>
      <name val="Calibri"/>
      <b val="1"/>
      <color rgb="000F766E"/>
      <sz val="16"/>
    </font>
    <font>
      <name val="Calibri"/>
      <b val="1"/>
      <color rgb="00DC2626"/>
      <sz val="16"/>
    </font>
    <font>
      <name val="Calibri"/>
      <b val="1"/>
      <color rgb="0022C55E"/>
      <sz val="16"/>
    </font>
    <font>
      <name val="Calibri"/>
      <i val="1"/>
      <color rgb="006B7280"/>
      <sz val="9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3F4F6"/>
      </patternFill>
    </fill>
    <fill>
      <patternFill patternType="solid">
        <fgColor rgb="00ECFDF5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center" vertical="center" wrapText="1"/>
    </xf>
    <xf numFmtId="10" fontId="3" fillId="3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/>
    </xf>
    <xf numFmtId="4" fontId="3" fillId="4" borderId="1" applyAlignment="1" pivotButton="0" quotePrefix="0" xfId="0">
      <alignment horizontal="right" vertical="center"/>
    </xf>
    <xf numFmtId="10" fontId="4" fillId="4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4" fontId="4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right" vertical="center"/>
    </xf>
    <xf numFmtId="4" fontId="5" fillId="6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  <xf numFmtId="0" fontId="4" fillId="7" borderId="1" pivotButton="0" quotePrefix="0" xfId="0"/>
    <xf numFmtId="0" fontId="6" fillId="7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0" fontId="5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8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4" fontId="3" fillId="3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4" fontId="11" fillId="8" borderId="1" applyAlignment="1" pivotButton="0" quotePrefix="0" xfId="0">
      <alignment horizontal="center" vertical="center" wrapText="1"/>
    </xf>
    <xf numFmtId="4" fontId="12" fillId="8" borderId="1" applyAlignment="1" pivotButton="0" quotePrefix="0" xfId="0">
      <alignment horizontal="center" vertical="center" wrapText="1"/>
    </xf>
    <xf numFmtId="4" fontId="13" fillId="8" borderId="1" applyAlignment="1" pivotButton="0" quotePrefix="0" xfId="0">
      <alignment horizontal="center" vertical="center" wrapText="1"/>
    </xf>
    <xf numFmtId="10" fontId="11" fillId="8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2" fillId="2" borderId="1" pivotButton="0" quotePrefix="0" xfId="0"/>
    <xf numFmtId="0" fontId="3" fillId="0" borderId="1" applyAlignment="1" pivotButton="0" quotePrefix="0" xfId="0">
      <alignment horizontal="center" vertical="center" wrapText="1"/>
    </xf>
    <xf numFmtId="4" fontId="0" fillId="0" borderId="1" pivotButton="0" quotePrefix="0" xfId="0"/>
    <xf numFmtId="10" fontId="0" fillId="0" borderId="1" pivotButton="0" quotePrefix="0" xfId="0"/>
    <xf numFmtId="0" fontId="3" fillId="0" borderId="1" pivotButton="0" quotePrefix="0" xfId="0"/>
    <xf numFmtId="4" fontId="3" fillId="0" borderId="1" pivotButton="0" quotePrefix="0" xfId="0"/>
    <xf numFmtId="0" fontId="2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22C55E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Receita x Tributos x Lucro por Competência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'Dashboard'!$A$8:$A$15</f>
            </numRef>
          </cat>
          <val>
            <numRef>
              <f>'Dashboard'!$B$8:$B$15</f>
            </numRef>
          </val>
        </ser>
        <ser>
          <idx val="1"/>
          <order val="1"/>
          <tx>
            <strRef>
              <f>'Dashboard'!C7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'Dashboard'!$A$8:$A$15</f>
            </numRef>
          </cat>
          <val>
            <numRef>
              <f>'Dashboard'!$C$8:$C$15</f>
            </numRef>
          </val>
        </ser>
        <ser>
          <idx val="2"/>
          <order val="2"/>
          <tx>
            <strRef>
              <f>'Dashboard'!D7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'Dashboard'!$A$8:$A$15</f>
            </numRef>
          </cat>
          <val>
            <numRef>
              <f>'Dashboard'!$D$8:$D$15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Competência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da Margem Líquida %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'Dashboard'!G7</f>
            </strRef>
          </tx>
          <spPr>
            <a:ln xmlns:a="http://schemas.openxmlformats.org/drawingml/2006/main" w="28575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'Dashboard'!$F$8:$F$15</f>
            </numRef>
          </cat>
          <val>
            <numRef>
              <f>'Dashboard'!$G$8:$G$15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Competência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Margem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Composição Tributária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'Dashboard'!J7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'Dashboard'!$I$8:$I$11</f>
            </numRef>
          </cat>
          <val>
            <numRef>
              <f>'Dashboard'!$J$8:$J$11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16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16</row>
      <rowOff>0</rowOff>
    </from>
    <ext cx="648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26" customWidth="1" min="3" max="3"/>
    <col width="18" customWidth="1" min="4" max="4"/>
    <col width="5" customWidth="1" min="5" max="5"/>
    <col width="18" customWidth="1" min="6" max="6"/>
    <col width="12" customWidth="1" min="7" max="7"/>
    <col width="18" customWidth="1" min="8" max="8"/>
    <col width="17" customWidth="1" min="9" max="9"/>
    <col width="20" customWidth="1" min="10" max="10"/>
    <col width="12" customWidth="1" min="11" max="11"/>
    <col width="13" customWidth="1" min="12" max="12"/>
    <col width="11" customWidth="1" min="13" max="13"/>
    <col width="14" customWidth="1" min="14" max="14"/>
    <col width="11" customWidth="1" min="15" max="15"/>
    <col width="16" customWidth="1" min="16" max="16"/>
    <col width="16" customWidth="1" min="17" max="17"/>
    <col width="16" customWidth="1" min="18" max="18"/>
    <col width="14" customWidth="1" min="19" max="19"/>
    <col width="14" customWidth="1" min="20" max="20"/>
    <col width="14" customWidth="1" min="21" max="21"/>
    <col width="14" customWidth="1" min="22" max="22"/>
    <col width="18" customWidth="1" min="23" max="23"/>
    <col width="20" customWidth="1" min="24" max="24"/>
    <col width="10" customWidth="1" min="25" max="25"/>
    <col width="28" customWidth="1" min="26" max="26"/>
  </cols>
  <sheetData>
    <row r="1" ht="30" customHeight="1">
      <c r="A1" s="1" t="inlineStr">
        <is>
          <t>APURAÇÃO DE LUCRO PRESUMIDO — BASE FISCAL 2025</t>
        </is>
      </c>
    </row>
    <row r="2" ht="36" customHeight="1">
      <c r="A2" s="2" t="inlineStr">
        <is>
          <t>Período</t>
        </is>
      </c>
      <c r="B2" s="2" t="inlineStr">
        <is>
          <t>Competência</t>
        </is>
      </c>
      <c r="C2" s="2" t="inlineStr">
        <is>
          <t>Razão Social</t>
        </is>
      </c>
      <c r="D2" s="2" t="inlineStr">
        <is>
          <t>CNPJ</t>
        </is>
      </c>
      <c r="E2" s="2" t="inlineStr">
        <is>
          <t>UF</t>
        </is>
      </c>
      <c r="F2" s="2" t="inlineStr">
        <is>
          <t>Município</t>
        </is>
      </c>
      <c r="G2" s="2" t="inlineStr">
        <is>
          <t>Atividade</t>
        </is>
      </c>
      <c r="H2" s="2" t="inlineStr">
        <is>
          <t>Receita Bruta (R$)</t>
        </is>
      </c>
      <c r="I2" s="2" t="inlineStr">
        <is>
          <t>Outras Receitas (R$)</t>
        </is>
      </c>
      <c r="J2" s="2" t="inlineStr">
        <is>
          <t>Desp. Operacionais (R$)</t>
        </is>
      </c>
      <c r="K2" s="2" t="inlineStr">
        <is>
          <t>% Pres. IRPJ</t>
        </is>
      </c>
      <c r="L2" s="2" t="inlineStr">
        <is>
          <t>% Pres. CSLL</t>
        </is>
      </c>
      <c r="M2" s="2" t="inlineStr">
        <is>
          <t>Alíq. IRPJ</t>
        </is>
      </c>
      <c r="N2" s="2" t="inlineStr">
        <is>
          <t>Adicional IRPJ</t>
        </is>
      </c>
      <c r="O2" s="2" t="inlineStr">
        <is>
          <t>Alíq. CSLL</t>
        </is>
      </c>
      <c r="P2" s="2" t="inlineStr">
        <is>
          <t>Receita Total (R$)</t>
        </is>
      </c>
      <c r="Q2" s="2" t="inlineStr">
        <is>
          <t>Base IRPJ (R$)</t>
        </is>
      </c>
      <c r="R2" s="2" t="inlineStr">
        <is>
          <t>Base CSLL (R$)</t>
        </is>
      </c>
      <c r="S2" s="2" t="inlineStr">
        <is>
          <t>IRPJ (R$)</t>
        </is>
      </c>
      <c r="T2" s="2" t="inlineStr">
        <is>
          <t>CSLL (R$)</t>
        </is>
      </c>
      <c r="U2" s="2" t="inlineStr">
        <is>
          <t>PIS (R$)</t>
        </is>
      </c>
      <c r="V2" s="2" t="inlineStr">
        <is>
          <t>COFINS (R$)</t>
        </is>
      </c>
      <c r="W2" s="2" t="inlineStr">
        <is>
          <t>Total Tributos (R$)</t>
        </is>
      </c>
      <c r="X2" s="2" t="inlineStr">
        <is>
          <t>Resultado Líquido (R$)</t>
        </is>
      </c>
      <c r="Y2" s="2" t="inlineStr">
        <is>
          <t>Margem %</t>
        </is>
      </c>
      <c r="Z2" s="2" t="inlineStr">
        <is>
          <t>Observações</t>
        </is>
      </c>
    </row>
    <row r="3">
      <c r="A3" s="3" t="n">
        <v>1</v>
      </c>
      <c r="B3" s="3" t="inlineStr">
        <is>
          <t>01/2025</t>
        </is>
      </c>
      <c r="C3" s="3" t="inlineStr">
        <is>
          <t>Comercial Vitória Ltda.</t>
        </is>
      </c>
      <c r="D3" s="3" t="inlineStr">
        <is>
          <t>12.345.678/0001-90</t>
        </is>
      </c>
      <c r="E3" s="3" t="inlineStr">
        <is>
          <t>SP</t>
        </is>
      </c>
      <c r="F3" s="3" t="inlineStr">
        <is>
          <t>São Paulo</t>
        </is>
      </c>
      <c r="G3" s="3" t="inlineStr">
        <is>
          <t>Comércio</t>
        </is>
      </c>
      <c r="H3" s="4" t="n">
        <v>180000</v>
      </c>
      <c r="I3" s="4" t="n">
        <v>2500</v>
      </c>
      <c r="J3" s="4" t="n">
        <v>42000</v>
      </c>
      <c r="K3" s="5" t="n">
        <v>0.08</v>
      </c>
      <c r="L3" s="5" t="n">
        <v>0.12</v>
      </c>
      <c r="M3" s="5" t="n">
        <v>0.15</v>
      </c>
      <c r="N3" s="5" t="n">
        <v>0.1</v>
      </c>
      <c r="O3" s="5" t="n">
        <v>0.09</v>
      </c>
      <c r="P3" s="6">
        <f>H3+I3</f>
        <v/>
      </c>
      <c r="Q3" s="7">
        <f>H3*K3</f>
        <v/>
      </c>
      <c r="R3" s="7">
        <f>H3*L3</f>
        <v/>
      </c>
      <c r="S3" s="7">
        <f>Q3*M3+IF(Q3&gt;20000;(Q3-20000)*N3;0)</f>
        <v/>
      </c>
      <c r="T3" s="7">
        <f>R3*O3</f>
        <v/>
      </c>
      <c r="U3" s="7">
        <f>H3*0.0065</f>
        <v/>
      </c>
      <c r="V3" s="7">
        <f>H3*0.03</f>
        <v/>
      </c>
      <c r="W3" s="6">
        <f>S3+T3+U3+V3</f>
        <v/>
      </c>
      <c r="X3" s="6">
        <f>P3-J3-W3</f>
        <v/>
      </c>
      <c r="Y3" s="8">
        <f>IF(P3&lt;&gt;0;X3/P3;0)</f>
        <v/>
      </c>
      <c r="Z3" s="9" t="inlineStr">
        <is>
          <t>NF-e emitida</t>
        </is>
      </c>
    </row>
    <row r="4">
      <c r="A4" s="3" t="n">
        <v>2</v>
      </c>
      <c r="B4" s="3" t="inlineStr">
        <is>
          <t>02/2025</t>
        </is>
      </c>
      <c r="C4" s="3" t="inlineStr">
        <is>
          <t>Tech Serviços S.A.</t>
        </is>
      </c>
      <c r="D4" s="3" t="inlineStr">
        <is>
          <t>23.456.789/0001-01</t>
        </is>
      </c>
      <c r="E4" s="3" t="inlineStr">
        <is>
          <t>SP</t>
        </is>
      </c>
      <c r="F4" s="3" t="inlineStr">
        <is>
          <t>Campinas</t>
        </is>
      </c>
      <c r="G4" s="3" t="inlineStr">
        <is>
          <t>Serviços</t>
        </is>
      </c>
      <c r="H4" s="4" t="n">
        <v>85000</v>
      </c>
      <c r="I4" s="4" t="n">
        <v>1200</v>
      </c>
      <c r="J4" s="4" t="n">
        <v>22000</v>
      </c>
      <c r="K4" s="5" t="n">
        <v>0.32</v>
      </c>
      <c r="L4" s="5" t="n">
        <v>0.32</v>
      </c>
      <c r="M4" s="5" t="n">
        <v>0.15</v>
      </c>
      <c r="N4" s="5" t="n">
        <v>0.1</v>
      </c>
      <c r="O4" s="5" t="n">
        <v>0.09</v>
      </c>
      <c r="P4" s="10">
        <f>H4+I4</f>
        <v/>
      </c>
      <c r="Q4" s="11">
        <f>H4*K4</f>
        <v/>
      </c>
      <c r="R4" s="11">
        <f>H4*L4</f>
        <v/>
      </c>
      <c r="S4" s="11">
        <f>Q4*M4+IF(Q4&gt;20000;(Q4-20000)*N4;0)</f>
        <v/>
      </c>
      <c r="T4" s="11">
        <f>R4*O4</f>
        <v/>
      </c>
      <c r="U4" s="11">
        <f>H4*0.0065</f>
        <v/>
      </c>
      <c r="V4" s="11">
        <f>H4*0.03</f>
        <v/>
      </c>
      <c r="W4" s="10">
        <f>S4+T4+U4+V4</f>
        <v/>
      </c>
      <c r="X4" s="10">
        <f>P4-J4-W4</f>
        <v/>
      </c>
      <c r="Y4" s="12">
        <f>IF(P4&lt;&gt;0;X4/P4;0)</f>
        <v/>
      </c>
      <c r="Z4" s="9" t="inlineStr">
        <is>
          <t>Prestação de serviços</t>
        </is>
      </c>
    </row>
    <row r="5">
      <c r="A5" s="3" t="n">
        <v>3</v>
      </c>
      <c r="B5" s="3" t="inlineStr">
        <is>
          <t>03/2025</t>
        </is>
      </c>
      <c r="C5" s="3" t="inlineStr">
        <is>
          <t>Distribuidora BH Eireli</t>
        </is>
      </c>
      <c r="D5" s="3" t="inlineStr">
        <is>
          <t>34.567.890/0001-12</t>
        </is>
      </c>
      <c r="E5" s="3" t="inlineStr">
        <is>
          <t>MG</t>
        </is>
      </c>
      <c r="F5" s="3" t="inlineStr">
        <is>
          <t>Belo Horizonte</t>
        </is>
      </c>
      <c r="G5" s="3" t="inlineStr">
        <is>
          <t>Comércio</t>
        </is>
      </c>
      <c r="H5" s="4" t="n">
        <v>240000</v>
      </c>
      <c r="I5" s="4" t="n">
        <v>4000</v>
      </c>
      <c r="J5" s="4" t="n">
        <v>68000</v>
      </c>
      <c r="K5" s="5" t="n">
        <v>0.08</v>
      </c>
      <c r="L5" s="5" t="n">
        <v>0.12</v>
      </c>
      <c r="M5" s="5" t="n">
        <v>0.15</v>
      </c>
      <c r="N5" s="5" t="n">
        <v>0.1</v>
      </c>
      <c r="O5" s="5" t="n">
        <v>0.09</v>
      </c>
      <c r="P5" s="6">
        <f>H5+I5</f>
        <v/>
      </c>
      <c r="Q5" s="7">
        <f>H5*K5</f>
        <v/>
      </c>
      <c r="R5" s="7">
        <f>H5*L5</f>
        <v/>
      </c>
      <c r="S5" s="7">
        <f>Q5*M5+IF(Q5&gt;20000;(Q5-20000)*N5;0)</f>
        <v/>
      </c>
      <c r="T5" s="7">
        <f>R5*O5</f>
        <v/>
      </c>
      <c r="U5" s="7">
        <f>H5*0.0065</f>
        <v/>
      </c>
      <c r="V5" s="7">
        <f>H5*0.03</f>
        <v/>
      </c>
      <c r="W5" s="6">
        <f>S5+T5+U5+V5</f>
        <v/>
      </c>
      <c r="X5" s="6">
        <f>P5-J5-W5</f>
        <v/>
      </c>
      <c r="Y5" s="8">
        <f>IF(P5&lt;&gt;0;X5/P5;0)</f>
        <v/>
      </c>
      <c r="Z5" s="9" t="inlineStr">
        <is>
          <t>Venda de mercadorias</t>
        </is>
      </c>
    </row>
    <row r="6">
      <c r="A6" s="3" t="n">
        <v>4</v>
      </c>
      <c r="B6" s="3" t="inlineStr">
        <is>
          <t>04/2025</t>
        </is>
      </c>
      <c r="C6" s="3" t="inlineStr">
        <is>
          <t>Consultoria Sul Ltda.</t>
        </is>
      </c>
      <c r="D6" s="3" t="inlineStr">
        <is>
          <t>45.678.901/0001-23</t>
        </is>
      </c>
      <c r="E6" s="3" t="inlineStr">
        <is>
          <t>PR</t>
        </is>
      </c>
      <c r="F6" s="3" t="inlineStr">
        <is>
          <t>Curitiba</t>
        </is>
      </c>
      <c r="G6" s="3" t="inlineStr">
        <is>
          <t>Serviços</t>
        </is>
      </c>
      <c r="H6" s="4" t="n">
        <v>65000</v>
      </c>
      <c r="I6" s="4" t="n">
        <v>800</v>
      </c>
      <c r="J6" s="4" t="n">
        <v>18500</v>
      </c>
      <c r="K6" s="5" t="n">
        <v>0.32</v>
      </c>
      <c r="L6" s="5" t="n">
        <v>0.32</v>
      </c>
      <c r="M6" s="5" t="n">
        <v>0.15</v>
      </c>
      <c r="N6" s="5" t="n">
        <v>0.1</v>
      </c>
      <c r="O6" s="5" t="n">
        <v>0.09</v>
      </c>
      <c r="P6" s="10">
        <f>H6+I6</f>
        <v/>
      </c>
      <c r="Q6" s="11">
        <f>H6*K6</f>
        <v/>
      </c>
      <c r="R6" s="11">
        <f>H6*L6</f>
        <v/>
      </c>
      <c r="S6" s="11">
        <f>Q6*M6+IF(Q6&gt;20000;(Q6-20000)*N6;0)</f>
        <v/>
      </c>
      <c r="T6" s="11">
        <f>R6*O6</f>
        <v/>
      </c>
      <c r="U6" s="11">
        <f>H6*0.0065</f>
        <v/>
      </c>
      <c r="V6" s="11">
        <f>H6*0.03</f>
        <v/>
      </c>
      <c r="W6" s="10">
        <f>S6+T6+U6+V6</f>
        <v/>
      </c>
      <c r="X6" s="10">
        <f>P6-J6-W6</f>
        <v/>
      </c>
      <c r="Y6" s="12">
        <f>IF(P6&lt;&gt;0;X6/P6;0)</f>
        <v/>
      </c>
      <c r="Z6" s="9" t="inlineStr">
        <is>
          <t>Ajuste de competência</t>
        </is>
      </c>
    </row>
    <row r="7">
      <c r="A7" s="3" t="n">
        <v>5</v>
      </c>
      <c r="B7" s="3" t="inlineStr">
        <is>
          <t>05/2025</t>
        </is>
      </c>
      <c r="C7" s="3" t="inlineStr">
        <is>
          <t>Importadora Recife S.A.</t>
        </is>
      </c>
      <c r="D7" s="3" t="inlineStr">
        <is>
          <t>56.789.012/0001-34</t>
        </is>
      </c>
      <c r="E7" s="3" t="inlineStr">
        <is>
          <t>PE</t>
        </is>
      </c>
      <c r="F7" s="3" t="inlineStr">
        <is>
          <t>Recife</t>
        </is>
      </c>
      <c r="G7" s="3" t="inlineStr">
        <is>
          <t>Comércio</t>
        </is>
      </c>
      <c r="H7" s="4" t="n">
        <v>275000</v>
      </c>
      <c r="I7" s="4" t="n">
        <v>5500</v>
      </c>
      <c r="J7" s="4" t="n">
        <v>74000</v>
      </c>
      <c r="K7" s="5" t="n">
        <v>0.08</v>
      </c>
      <c r="L7" s="5" t="n">
        <v>0.12</v>
      </c>
      <c r="M7" s="5" t="n">
        <v>0.15</v>
      </c>
      <c r="N7" s="5" t="n">
        <v>0.1</v>
      </c>
      <c r="O7" s="5" t="n">
        <v>0.09</v>
      </c>
      <c r="P7" s="6">
        <f>H7+I7</f>
        <v/>
      </c>
      <c r="Q7" s="7">
        <f>H7*K7</f>
        <v/>
      </c>
      <c r="R7" s="7">
        <f>H7*L7</f>
        <v/>
      </c>
      <c r="S7" s="7">
        <f>Q7*M7+IF(Q7&gt;20000;(Q7-20000)*N7;0)</f>
        <v/>
      </c>
      <c r="T7" s="7">
        <f>R7*O7</f>
        <v/>
      </c>
      <c r="U7" s="7">
        <f>H7*0.0065</f>
        <v/>
      </c>
      <c r="V7" s="7">
        <f>H7*0.03</f>
        <v/>
      </c>
      <c r="W7" s="6">
        <f>S7+T7+U7+V7</f>
        <v/>
      </c>
      <c r="X7" s="6">
        <f>P7-J7-W7</f>
        <v/>
      </c>
      <c r="Y7" s="8">
        <f>IF(P7&lt;&gt;0;X7/P7;0)</f>
        <v/>
      </c>
      <c r="Z7" s="9" t="inlineStr">
        <is>
          <t>NF-e emitida</t>
        </is>
      </c>
    </row>
    <row r="8">
      <c r="A8" s="3" t="n">
        <v>6</v>
      </c>
      <c r="B8" s="3" t="inlineStr">
        <is>
          <t>06/2025</t>
        </is>
      </c>
      <c r="C8" s="3" t="inlineStr">
        <is>
          <t>Alfa Tecnologia ME</t>
        </is>
      </c>
      <c r="D8" s="3" t="inlineStr">
        <is>
          <t>67.890.123/0001-45</t>
        </is>
      </c>
      <c r="E8" s="3" t="inlineStr">
        <is>
          <t>SP</t>
        </is>
      </c>
      <c r="F8" s="3" t="inlineStr">
        <is>
          <t>São Paulo</t>
        </is>
      </c>
      <c r="G8" s="3" t="inlineStr">
        <is>
          <t>Serviços</t>
        </is>
      </c>
      <c r="H8" s="4" t="n">
        <v>38000</v>
      </c>
      <c r="I8" s="4" t="n">
        <v>500</v>
      </c>
      <c r="J8" s="4" t="n">
        <v>10200</v>
      </c>
      <c r="K8" s="5" t="n">
        <v>0.32</v>
      </c>
      <c r="L8" s="5" t="n">
        <v>0.32</v>
      </c>
      <c r="M8" s="5" t="n">
        <v>0.15</v>
      </c>
      <c r="N8" s="5" t="n">
        <v>0.1</v>
      </c>
      <c r="O8" s="5" t="n">
        <v>0.09</v>
      </c>
      <c r="P8" s="10">
        <f>H8+I8</f>
        <v/>
      </c>
      <c r="Q8" s="11">
        <f>H8*K8</f>
        <v/>
      </c>
      <c r="R8" s="11">
        <f>H8*L8</f>
        <v/>
      </c>
      <c r="S8" s="11">
        <f>Q8*M8+IF(Q8&gt;20000;(Q8-20000)*N8;0)</f>
        <v/>
      </c>
      <c r="T8" s="11">
        <f>R8*O8</f>
        <v/>
      </c>
      <c r="U8" s="11">
        <f>H8*0.0065</f>
        <v/>
      </c>
      <c r="V8" s="11">
        <f>H8*0.03</f>
        <v/>
      </c>
      <c r="W8" s="10">
        <f>S8+T8+U8+V8</f>
        <v/>
      </c>
      <c r="X8" s="10">
        <f>P8-J8-W8</f>
        <v/>
      </c>
      <c r="Y8" s="12">
        <f>IF(P8&lt;&gt;0;X8/P8;0)</f>
        <v/>
      </c>
      <c r="Z8" s="9" t="inlineStr">
        <is>
          <t>Prestação de serviços</t>
        </is>
      </c>
    </row>
    <row r="9">
      <c r="A9" s="3" t="n">
        <v>7</v>
      </c>
      <c r="B9" s="3" t="inlineStr">
        <is>
          <t>07/2025</t>
        </is>
      </c>
      <c r="C9" s="3" t="inlineStr">
        <is>
          <t>Comercial Vitória Ltda.</t>
        </is>
      </c>
      <c r="D9" s="3" t="inlineStr">
        <is>
          <t>12.345.678/0001-90</t>
        </is>
      </c>
      <c r="E9" s="3" t="inlineStr">
        <is>
          <t>SP</t>
        </is>
      </c>
      <c r="F9" s="3" t="inlineStr">
        <is>
          <t>São Paulo</t>
        </is>
      </c>
      <c r="G9" s="3" t="inlineStr">
        <is>
          <t>Comércio</t>
        </is>
      </c>
      <c r="H9" s="4" t="n">
        <v>195000</v>
      </c>
      <c r="I9" s="4" t="n">
        <v>3000</v>
      </c>
      <c r="J9" s="4" t="n">
        <v>48000</v>
      </c>
      <c r="K9" s="5" t="n">
        <v>0.08</v>
      </c>
      <c r="L9" s="5" t="n">
        <v>0.12</v>
      </c>
      <c r="M9" s="5" t="n">
        <v>0.15</v>
      </c>
      <c r="N9" s="5" t="n">
        <v>0.1</v>
      </c>
      <c r="O9" s="5" t="n">
        <v>0.09</v>
      </c>
      <c r="P9" s="6">
        <f>H9+I9</f>
        <v/>
      </c>
      <c r="Q9" s="7">
        <f>H9*K9</f>
        <v/>
      </c>
      <c r="R9" s="7">
        <f>H9*L9</f>
        <v/>
      </c>
      <c r="S9" s="7">
        <f>Q9*M9+IF(Q9&gt;20000;(Q9-20000)*N9;0)</f>
        <v/>
      </c>
      <c r="T9" s="7">
        <f>R9*O9</f>
        <v/>
      </c>
      <c r="U9" s="7">
        <f>H9*0.0065</f>
        <v/>
      </c>
      <c r="V9" s="7">
        <f>H9*0.03</f>
        <v/>
      </c>
      <c r="W9" s="6">
        <f>S9+T9+U9+V9</f>
        <v/>
      </c>
      <c r="X9" s="6">
        <f>P9-J9-W9</f>
        <v/>
      </c>
      <c r="Y9" s="8">
        <f>IF(P9&lt;&gt;0;X9/P9;0)</f>
        <v/>
      </c>
      <c r="Z9" s="9" t="inlineStr">
        <is>
          <t>NF-e emitida</t>
        </is>
      </c>
    </row>
    <row r="10">
      <c r="A10" s="3" t="n">
        <v>8</v>
      </c>
      <c r="B10" s="3" t="inlineStr">
        <is>
          <t>08/2025</t>
        </is>
      </c>
      <c r="C10" s="3" t="inlineStr">
        <is>
          <t>Beta Consultores Associados</t>
        </is>
      </c>
      <c r="D10" s="3" t="inlineStr">
        <is>
          <t>78.901.234/0001-56</t>
        </is>
      </c>
      <c r="E10" s="3" t="inlineStr">
        <is>
          <t>PR</t>
        </is>
      </c>
      <c r="F10" s="3" t="inlineStr">
        <is>
          <t>Curitiba</t>
        </is>
      </c>
      <c r="G10" s="3" t="inlineStr">
        <is>
          <t>Serviços</t>
        </is>
      </c>
      <c r="H10" s="4" t="n">
        <v>120000</v>
      </c>
      <c r="I10" s="4" t="n">
        <v>2000</v>
      </c>
      <c r="J10" s="4" t="n">
        <v>35000</v>
      </c>
      <c r="K10" s="5" t="n">
        <v>0.32</v>
      </c>
      <c r="L10" s="5" t="n">
        <v>0.32</v>
      </c>
      <c r="M10" s="5" t="n">
        <v>0.15</v>
      </c>
      <c r="N10" s="5" t="n">
        <v>0.1</v>
      </c>
      <c r="O10" s="5" t="n">
        <v>0.09</v>
      </c>
      <c r="P10" s="10">
        <f>H10+I10</f>
        <v/>
      </c>
      <c r="Q10" s="11">
        <f>H10*K10</f>
        <v/>
      </c>
      <c r="R10" s="11">
        <f>H10*L10</f>
        <v/>
      </c>
      <c r="S10" s="11">
        <f>Q10*M10+IF(Q10&gt;20000;(Q10-20000)*N10;0)</f>
        <v/>
      </c>
      <c r="T10" s="11">
        <f>R10*O10</f>
        <v/>
      </c>
      <c r="U10" s="11">
        <f>H10*0.0065</f>
        <v/>
      </c>
      <c r="V10" s="11">
        <f>H10*0.03</f>
        <v/>
      </c>
      <c r="W10" s="10">
        <f>S10+T10+U10+V10</f>
        <v/>
      </c>
      <c r="X10" s="10">
        <f>P10-J10-W10</f>
        <v/>
      </c>
      <c r="Y10" s="12">
        <f>IF(P10&lt;&gt;0;X10/P10;0)</f>
        <v/>
      </c>
      <c r="Z10" s="9" t="inlineStr">
        <is>
          <t>Venda de serviços</t>
        </is>
      </c>
    </row>
    <row r="11">
      <c r="A11" s="3" t="n">
        <v>9</v>
      </c>
      <c r="B11" s="3" t="inlineStr">
        <is>
          <t>08/2025</t>
        </is>
      </c>
      <c r="C11" s="3" t="inlineStr">
        <is>
          <t>Distribuidora BH Eireli</t>
        </is>
      </c>
      <c r="D11" s="3" t="inlineStr">
        <is>
          <t>34.567.890/0001-12</t>
        </is>
      </c>
      <c r="E11" s="3" t="inlineStr">
        <is>
          <t>MG</t>
        </is>
      </c>
      <c r="F11" s="3" t="inlineStr">
        <is>
          <t>Belo Horizonte</t>
        </is>
      </c>
      <c r="G11" s="3" t="inlineStr">
        <is>
          <t>Comércio</t>
        </is>
      </c>
      <c r="H11" s="4" t="n">
        <v>42000</v>
      </c>
      <c r="I11" s="4" t="n">
        <v>600</v>
      </c>
      <c r="J11" s="4" t="n">
        <v>13000</v>
      </c>
      <c r="K11" s="5" t="n">
        <v>0.08</v>
      </c>
      <c r="L11" s="5" t="n">
        <v>0.12</v>
      </c>
      <c r="M11" s="5" t="n">
        <v>0.15</v>
      </c>
      <c r="N11" s="5" t="n">
        <v>0.1</v>
      </c>
      <c r="O11" s="5" t="n">
        <v>0.09</v>
      </c>
      <c r="P11" s="6">
        <f>H11+I11</f>
        <v/>
      </c>
      <c r="Q11" s="7">
        <f>H11*K11</f>
        <v/>
      </c>
      <c r="R11" s="7">
        <f>H11*L11</f>
        <v/>
      </c>
      <c r="S11" s="7">
        <f>Q11*M11+IF(Q11&gt;20000;(Q11-20000)*N11;0)</f>
        <v/>
      </c>
      <c r="T11" s="7">
        <f>R11*O11</f>
        <v/>
      </c>
      <c r="U11" s="7">
        <f>H11*0.0065</f>
        <v/>
      </c>
      <c r="V11" s="7">
        <f>H11*0.03</f>
        <v/>
      </c>
      <c r="W11" s="6">
        <f>S11+T11+U11+V11</f>
        <v/>
      </c>
      <c r="X11" s="6">
        <f>P11-J11-W11</f>
        <v/>
      </c>
      <c r="Y11" s="8">
        <f>IF(P11&lt;&gt;0;X11/P11;0)</f>
        <v/>
      </c>
      <c r="Z11" s="9" t="inlineStr">
        <is>
          <t>Venda de mercadorias</t>
        </is>
      </c>
    </row>
    <row r="12">
      <c r="A12" s="3" t="n">
        <v>10</v>
      </c>
      <c r="B12" s="3" t="inlineStr">
        <is>
          <t>08/2025</t>
        </is>
      </c>
      <c r="C12" s="3" t="inlineStr">
        <is>
          <t>Importadora Recife S.A.</t>
        </is>
      </c>
      <c r="D12" s="3" t="inlineStr">
        <is>
          <t>56.789.012/0001-34</t>
        </is>
      </c>
      <c r="E12" s="3" t="inlineStr">
        <is>
          <t>PE</t>
        </is>
      </c>
      <c r="F12" s="3" t="inlineStr">
        <is>
          <t>Recife</t>
        </is>
      </c>
      <c r="G12" s="3" t="inlineStr">
        <is>
          <t>Serviços</t>
        </is>
      </c>
      <c r="H12" s="4" t="n">
        <v>78000</v>
      </c>
      <c r="I12" s="4" t="n">
        <v>1100</v>
      </c>
      <c r="J12" s="4" t="n">
        <v>21000</v>
      </c>
      <c r="K12" s="5" t="n">
        <v>0.32</v>
      </c>
      <c r="L12" s="5" t="n">
        <v>0.32</v>
      </c>
      <c r="M12" s="5" t="n">
        <v>0.15</v>
      </c>
      <c r="N12" s="5" t="n">
        <v>0.1</v>
      </c>
      <c r="O12" s="5" t="n">
        <v>0.09</v>
      </c>
      <c r="P12" s="10">
        <f>H12+I12</f>
        <v/>
      </c>
      <c r="Q12" s="11">
        <f>H12*K12</f>
        <v/>
      </c>
      <c r="R12" s="11">
        <f>H12*L12</f>
        <v/>
      </c>
      <c r="S12" s="11">
        <f>Q12*M12+IF(Q12&gt;20000;(Q12-20000)*N12;0)</f>
        <v/>
      </c>
      <c r="T12" s="11">
        <f>R12*O12</f>
        <v/>
      </c>
      <c r="U12" s="11">
        <f>H12*0.0065</f>
        <v/>
      </c>
      <c r="V12" s="11">
        <f>H12*0.03</f>
        <v/>
      </c>
      <c r="W12" s="10">
        <f>S12+T12+U12+V12</f>
        <v/>
      </c>
      <c r="X12" s="10">
        <f>P12-J12-W12</f>
        <v/>
      </c>
      <c r="Y12" s="12">
        <f>IF(P12&lt;&gt;0;X12/P12;0)</f>
        <v/>
      </c>
      <c r="Z12" s="9" t="inlineStr">
        <is>
          <t>Prestação de serviços</t>
        </is>
      </c>
    </row>
    <row r="13" ht="22" customHeight="1">
      <c r="A13" s="13" t="inlineStr">
        <is>
          <t>TOTAIS</t>
        </is>
      </c>
      <c r="B13" s="14" t="n"/>
      <c r="C13" s="14" t="n"/>
      <c r="D13" s="14" t="n"/>
      <c r="E13" s="14" t="n"/>
      <c r="F13" s="14" t="n"/>
      <c r="G13" s="14" t="n"/>
      <c r="H13" s="15">
        <f>SUM(H3:H12)</f>
        <v/>
      </c>
      <c r="I13" s="15">
        <f>SUM(I3:I12)</f>
        <v/>
      </c>
      <c r="J13" s="15">
        <f>SUM(J3:J12)</f>
        <v/>
      </c>
      <c r="K13" s="14" t="n"/>
      <c r="L13" s="14" t="n"/>
      <c r="M13" s="14" t="n"/>
      <c r="N13" s="14" t="n"/>
      <c r="O13" s="14" t="n"/>
      <c r="P13" s="15">
        <f>SUM(P3:P12)</f>
        <v/>
      </c>
      <c r="Q13" s="15">
        <f>SUM(Q3:Q12)</f>
        <v/>
      </c>
      <c r="R13" s="15">
        <f>SUM(R3:R12)</f>
        <v/>
      </c>
      <c r="S13" s="15">
        <f>SUM(S3:S12)</f>
        <v/>
      </c>
      <c r="T13" s="15">
        <f>SUM(T3:T12)</f>
        <v/>
      </c>
      <c r="U13" s="15">
        <f>SUM(U3:U12)</f>
        <v/>
      </c>
      <c r="V13" s="15">
        <f>SUM(V3:V12)</f>
        <v/>
      </c>
      <c r="W13" s="15">
        <f>SUM(W3:W12)</f>
        <v/>
      </c>
      <c r="X13" s="15">
        <f>SUM(X3:X12)</f>
        <v/>
      </c>
      <c r="Y13" s="16">
        <f>AVERAGE(Y3:Y12)</f>
        <v/>
      </c>
      <c r="Z13" s="14" t="n"/>
    </row>
    <row r="15">
      <c r="A15" s="17" t="inlineStr">
        <is>
          <t>Meses com resultado positivo:</t>
        </is>
      </c>
      <c r="B15" s="18">
        <f>COUNTIF(X3:X12,"&gt;0")</f>
        <v/>
      </c>
    </row>
    <row r="16">
      <c r="A16" s="17" t="inlineStr">
        <is>
          <t>Meses com resultado negativo:</t>
        </is>
      </c>
      <c r="B16" s="19">
        <f>COUNTIF(X3:X12,"&lt;0")</f>
        <v/>
      </c>
    </row>
  </sheetData>
  <mergeCells count="1">
    <mergeCell ref="A1:S1"/>
  </mergeCells>
  <conditionalFormatting sqref="X3:X12">
    <cfRule type="expression" priority="1" dxfId="0" stopIfTrue="0">
      <formula>X3&gt;0</formula>
    </cfRule>
    <cfRule type="expression" priority="2" dxfId="1" stopIfTrue="0">
      <formula>X3&lt;0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16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8" customWidth="1" min="9" max="9"/>
    <col width="20" customWidth="1" min="10" max="10"/>
    <col width="20" customWidth="1" min="11" max="11"/>
    <col width="18" customWidth="1" min="12" max="12"/>
    <col width="15" customWidth="1" min="13" max="13"/>
    <col width="12" customWidth="1" min="14" max="14"/>
  </cols>
  <sheetData>
    <row r="1" ht="30" customHeight="1">
      <c r="A1" s="1" t="inlineStr">
        <is>
          <t>RESUMO TRIBUTÁRIO — LUCRO PRESUMIDO 2025</t>
        </is>
      </c>
    </row>
    <row r="2" ht="36" customHeight="1">
      <c r="A2" s="2" t="inlineStr">
        <is>
          <t>Competência</t>
        </is>
      </c>
      <c r="B2" s="2" t="inlineStr">
        <is>
          <t>Receita Total (R$)</t>
        </is>
      </c>
      <c r="C2" s="2" t="inlineStr">
        <is>
          <t>Base IRPJ (R$)</t>
        </is>
      </c>
      <c r="D2" s="2" t="inlineStr">
        <is>
          <t>IRPJ (R$)</t>
        </is>
      </c>
      <c r="E2" s="2" t="inlineStr">
        <is>
          <t>Base CSLL (R$)</t>
        </is>
      </c>
      <c r="F2" s="2" t="inlineStr">
        <is>
          <t>CSLL (R$)</t>
        </is>
      </c>
      <c r="G2" s="2" t="inlineStr">
        <is>
          <t>PIS (R$)</t>
        </is>
      </c>
      <c r="H2" s="2" t="inlineStr">
        <is>
          <t>COFINS (R$)</t>
        </is>
      </c>
      <c r="I2" s="2" t="inlineStr">
        <is>
          <t>Total Tributos (R$)</t>
        </is>
      </c>
      <c r="J2" s="2" t="inlineStr">
        <is>
          <t>Desp. Operacionais (R$)</t>
        </is>
      </c>
      <c r="K2" s="2" t="inlineStr">
        <is>
          <t>Lucro Antes IR/CS (R$)</t>
        </is>
      </c>
      <c r="L2" s="2" t="inlineStr">
        <is>
          <t>Lucro Líquido (R$)</t>
        </is>
      </c>
      <c r="M2" s="2" t="inlineStr">
        <is>
          <t>Margem Líquida %</t>
        </is>
      </c>
      <c r="N2" s="2" t="inlineStr">
        <is>
          <t>Cenário</t>
        </is>
      </c>
    </row>
    <row r="3">
      <c r="A3" s="20" t="inlineStr">
        <is>
          <t>01/2025</t>
        </is>
      </c>
      <c r="B3" s="7">
        <f>SUMIF(Base_Fiscal!B3:B12,"01/2025",Base_Fiscal!P3:P12)</f>
        <v/>
      </c>
      <c r="C3" s="7">
        <f>SUMIF(Base_Fiscal!B3:B12,"01/2025",Base_Fiscal!Q3:Q12)</f>
        <v/>
      </c>
      <c r="D3" s="7">
        <f>SUMIF(Base_Fiscal!B3:B12,"01/2025",Base_Fiscal!S3:S12)</f>
        <v/>
      </c>
      <c r="E3" s="7">
        <f>SUMIF(Base_Fiscal!B3:B12,"01/2025",Base_Fiscal!R3:R12)</f>
        <v/>
      </c>
      <c r="F3" s="7">
        <f>SUMIF(Base_Fiscal!B3:B12,"01/2025",Base_Fiscal!T3:T12)</f>
        <v/>
      </c>
      <c r="G3" s="7">
        <f>SUMIF(Base_Fiscal!B3:B12,"01/2025",Base_Fiscal!U3:U12)</f>
        <v/>
      </c>
      <c r="H3" s="7">
        <f>SUMIF(Base_Fiscal!B3:B12,"01/2025",Base_Fiscal!V3:V12)</f>
        <v/>
      </c>
      <c r="I3" s="6">
        <f>D3+F3+G3+H3</f>
        <v/>
      </c>
      <c r="J3" s="7">
        <f>SUMIF(Base_Fiscal!B3:B12,"01/2025",Base_Fiscal!J3:J12)</f>
        <v/>
      </c>
      <c r="K3" s="7">
        <f>B3-J3-G3-H3</f>
        <v/>
      </c>
      <c r="L3" s="6">
        <f>B3-J3-I3</f>
        <v/>
      </c>
      <c r="M3" s="21">
        <f>IF(B3&lt;&gt;0;L3/B3;0)</f>
        <v/>
      </c>
      <c r="N3" s="20">
        <f>IF(M3&gt;0.20;"Excelente";IF(M3&gt;=0.10;"Atenção";"Crítico"))</f>
        <v/>
      </c>
    </row>
    <row r="4">
      <c r="A4" s="22" t="inlineStr">
        <is>
          <t>02/2025</t>
        </is>
      </c>
      <c r="B4" s="11">
        <f>SUMIF(Base_Fiscal!B3:B12,"02/2025",Base_Fiscal!P3:P12)</f>
        <v/>
      </c>
      <c r="C4" s="11">
        <f>SUMIF(Base_Fiscal!B3:B12,"02/2025",Base_Fiscal!Q3:Q12)</f>
        <v/>
      </c>
      <c r="D4" s="11">
        <f>SUMIF(Base_Fiscal!B3:B12,"02/2025",Base_Fiscal!S3:S12)</f>
        <v/>
      </c>
      <c r="E4" s="11">
        <f>SUMIF(Base_Fiscal!B3:B12,"02/2025",Base_Fiscal!R3:R12)</f>
        <v/>
      </c>
      <c r="F4" s="11">
        <f>SUMIF(Base_Fiscal!B3:B12,"02/2025",Base_Fiscal!T3:T12)</f>
        <v/>
      </c>
      <c r="G4" s="11">
        <f>SUMIF(Base_Fiscal!B3:B12,"02/2025",Base_Fiscal!U3:U12)</f>
        <v/>
      </c>
      <c r="H4" s="11">
        <f>SUMIF(Base_Fiscal!B3:B12,"02/2025",Base_Fiscal!V3:V12)</f>
        <v/>
      </c>
      <c r="I4" s="10">
        <f>D4+F4+G4+H4</f>
        <v/>
      </c>
      <c r="J4" s="11">
        <f>SUMIF(Base_Fiscal!B3:B12,"02/2025",Base_Fiscal!J3:J12)</f>
        <v/>
      </c>
      <c r="K4" s="11">
        <f>B4-J4-G4-H4</f>
        <v/>
      </c>
      <c r="L4" s="10">
        <f>B4-J4-I4</f>
        <v/>
      </c>
      <c r="M4" s="23">
        <f>IF(B4&lt;&gt;0;L4/B4;0)</f>
        <v/>
      </c>
      <c r="N4" s="22">
        <f>IF(M4&gt;0.20;"Excelente";IF(M4&gt;=0.10;"Atenção";"Crítico"))</f>
        <v/>
      </c>
    </row>
    <row r="5">
      <c r="A5" s="20" t="inlineStr">
        <is>
          <t>03/2025</t>
        </is>
      </c>
      <c r="B5" s="7">
        <f>SUMIF(Base_Fiscal!B3:B12,"03/2025",Base_Fiscal!P3:P12)</f>
        <v/>
      </c>
      <c r="C5" s="7">
        <f>SUMIF(Base_Fiscal!B3:B12,"03/2025",Base_Fiscal!Q3:Q12)</f>
        <v/>
      </c>
      <c r="D5" s="7">
        <f>SUMIF(Base_Fiscal!B3:B12,"03/2025",Base_Fiscal!S3:S12)</f>
        <v/>
      </c>
      <c r="E5" s="7">
        <f>SUMIF(Base_Fiscal!B3:B12,"03/2025",Base_Fiscal!R3:R12)</f>
        <v/>
      </c>
      <c r="F5" s="7">
        <f>SUMIF(Base_Fiscal!B3:B12,"03/2025",Base_Fiscal!T3:T12)</f>
        <v/>
      </c>
      <c r="G5" s="7">
        <f>SUMIF(Base_Fiscal!B3:B12,"03/2025",Base_Fiscal!U3:U12)</f>
        <v/>
      </c>
      <c r="H5" s="7">
        <f>SUMIF(Base_Fiscal!B3:B12,"03/2025",Base_Fiscal!V3:V12)</f>
        <v/>
      </c>
      <c r="I5" s="6">
        <f>D5+F5+G5+H5</f>
        <v/>
      </c>
      <c r="J5" s="7">
        <f>SUMIF(Base_Fiscal!B3:B12,"03/2025",Base_Fiscal!J3:J12)</f>
        <v/>
      </c>
      <c r="K5" s="7">
        <f>B5-J5-G5-H5</f>
        <v/>
      </c>
      <c r="L5" s="6">
        <f>B5-J5-I5</f>
        <v/>
      </c>
      <c r="M5" s="21">
        <f>IF(B5&lt;&gt;0;L5/B5;0)</f>
        <v/>
      </c>
      <c r="N5" s="20">
        <f>IF(M5&gt;0.20;"Excelente";IF(M5&gt;=0.10;"Atenção";"Crítico"))</f>
        <v/>
      </c>
    </row>
    <row r="6">
      <c r="A6" s="22" t="inlineStr">
        <is>
          <t>04/2025</t>
        </is>
      </c>
      <c r="B6" s="11">
        <f>SUMIF(Base_Fiscal!B3:B12,"04/2025",Base_Fiscal!P3:P12)</f>
        <v/>
      </c>
      <c r="C6" s="11">
        <f>SUMIF(Base_Fiscal!B3:B12,"04/2025",Base_Fiscal!Q3:Q12)</f>
        <v/>
      </c>
      <c r="D6" s="11">
        <f>SUMIF(Base_Fiscal!B3:B12,"04/2025",Base_Fiscal!S3:S12)</f>
        <v/>
      </c>
      <c r="E6" s="11">
        <f>SUMIF(Base_Fiscal!B3:B12,"04/2025",Base_Fiscal!R3:R12)</f>
        <v/>
      </c>
      <c r="F6" s="11">
        <f>SUMIF(Base_Fiscal!B3:B12,"04/2025",Base_Fiscal!T3:T12)</f>
        <v/>
      </c>
      <c r="G6" s="11">
        <f>SUMIF(Base_Fiscal!B3:B12,"04/2025",Base_Fiscal!U3:U12)</f>
        <v/>
      </c>
      <c r="H6" s="11">
        <f>SUMIF(Base_Fiscal!B3:B12,"04/2025",Base_Fiscal!V3:V12)</f>
        <v/>
      </c>
      <c r="I6" s="10">
        <f>D6+F6+G6+H6</f>
        <v/>
      </c>
      <c r="J6" s="11">
        <f>SUMIF(Base_Fiscal!B3:B12,"04/2025",Base_Fiscal!J3:J12)</f>
        <v/>
      </c>
      <c r="K6" s="11">
        <f>B6-J6-G6-H6</f>
        <v/>
      </c>
      <c r="L6" s="10">
        <f>B6-J6-I6</f>
        <v/>
      </c>
      <c r="M6" s="23">
        <f>IF(B6&lt;&gt;0;L6/B6;0)</f>
        <v/>
      </c>
      <c r="N6" s="22">
        <f>IF(M6&gt;0.20;"Excelente";IF(M6&gt;=0.10;"Atenção";"Crítico"))</f>
        <v/>
      </c>
    </row>
    <row r="7">
      <c r="A7" s="20" t="inlineStr">
        <is>
          <t>05/2025</t>
        </is>
      </c>
      <c r="B7" s="7">
        <f>SUMIF(Base_Fiscal!B3:B12,"05/2025",Base_Fiscal!P3:P12)</f>
        <v/>
      </c>
      <c r="C7" s="7">
        <f>SUMIF(Base_Fiscal!B3:B12,"05/2025",Base_Fiscal!Q3:Q12)</f>
        <v/>
      </c>
      <c r="D7" s="7">
        <f>SUMIF(Base_Fiscal!B3:B12,"05/2025",Base_Fiscal!S3:S12)</f>
        <v/>
      </c>
      <c r="E7" s="7">
        <f>SUMIF(Base_Fiscal!B3:B12,"05/2025",Base_Fiscal!R3:R12)</f>
        <v/>
      </c>
      <c r="F7" s="7">
        <f>SUMIF(Base_Fiscal!B3:B12,"05/2025",Base_Fiscal!T3:T12)</f>
        <v/>
      </c>
      <c r="G7" s="7">
        <f>SUMIF(Base_Fiscal!B3:B12,"05/2025",Base_Fiscal!U3:U12)</f>
        <v/>
      </c>
      <c r="H7" s="7">
        <f>SUMIF(Base_Fiscal!B3:B12,"05/2025",Base_Fiscal!V3:V12)</f>
        <v/>
      </c>
      <c r="I7" s="6">
        <f>D7+F7+G7+H7</f>
        <v/>
      </c>
      <c r="J7" s="7">
        <f>SUMIF(Base_Fiscal!B3:B12,"05/2025",Base_Fiscal!J3:J12)</f>
        <v/>
      </c>
      <c r="K7" s="7">
        <f>B7-J7-G7-H7</f>
        <v/>
      </c>
      <c r="L7" s="6">
        <f>B7-J7-I7</f>
        <v/>
      </c>
      <c r="M7" s="21">
        <f>IF(B7&lt;&gt;0;L7/B7;0)</f>
        <v/>
      </c>
      <c r="N7" s="20">
        <f>IF(M7&gt;0.20;"Excelente";IF(M7&gt;=0.10;"Atenção";"Crítico"))</f>
        <v/>
      </c>
    </row>
    <row r="8">
      <c r="A8" s="22" t="inlineStr">
        <is>
          <t>06/2025</t>
        </is>
      </c>
      <c r="B8" s="11">
        <f>SUMIF(Base_Fiscal!B3:B12,"06/2025",Base_Fiscal!P3:P12)</f>
        <v/>
      </c>
      <c r="C8" s="11">
        <f>SUMIF(Base_Fiscal!B3:B12,"06/2025",Base_Fiscal!Q3:Q12)</f>
        <v/>
      </c>
      <c r="D8" s="11">
        <f>SUMIF(Base_Fiscal!B3:B12,"06/2025",Base_Fiscal!S3:S12)</f>
        <v/>
      </c>
      <c r="E8" s="11">
        <f>SUMIF(Base_Fiscal!B3:B12,"06/2025",Base_Fiscal!R3:R12)</f>
        <v/>
      </c>
      <c r="F8" s="11">
        <f>SUMIF(Base_Fiscal!B3:B12,"06/2025",Base_Fiscal!T3:T12)</f>
        <v/>
      </c>
      <c r="G8" s="11">
        <f>SUMIF(Base_Fiscal!B3:B12,"06/2025",Base_Fiscal!U3:U12)</f>
        <v/>
      </c>
      <c r="H8" s="11">
        <f>SUMIF(Base_Fiscal!B3:B12,"06/2025",Base_Fiscal!V3:V12)</f>
        <v/>
      </c>
      <c r="I8" s="10">
        <f>D8+F8+G8+H8</f>
        <v/>
      </c>
      <c r="J8" s="11">
        <f>SUMIF(Base_Fiscal!B3:B12,"06/2025",Base_Fiscal!J3:J12)</f>
        <v/>
      </c>
      <c r="K8" s="11">
        <f>B8-J8-G8-H8</f>
        <v/>
      </c>
      <c r="L8" s="10">
        <f>B8-J8-I8</f>
        <v/>
      </c>
      <c r="M8" s="23">
        <f>IF(B8&lt;&gt;0;L8/B8;0)</f>
        <v/>
      </c>
      <c r="N8" s="22">
        <f>IF(M8&gt;0.20;"Excelente";IF(M8&gt;=0.10;"Atenção";"Crítico"))</f>
        <v/>
      </c>
    </row>
    <row r="9">
      <c r="A9" s="20" t="inlineStr">
        <is>
          <t>07/2025</t>
        </is>
      </c>
      <c r="B9" s="7">
        <f>SUMIF(Base_Fiscal!B3:B12,"07/2025",Base_Fiscal!P3:P12)</f>
        <v/>
      </c>
      <c r="C9" s="7">
        <f>SUMIF(Base_Fiscal!B3:B12,"07/2025",Base_Fiscal!Q3:Q12)</f>
        <v/>
      </c>
      <c r="D9" s="7">
        <f>SUMIF(Base_Fiscal!B3:B12,"07/2025",Base_Fiscal!S3:S12)</f>
        <v/>
      </c>
      <c r="E9" s="7">
        <f>SUMIF(Base_Fiscal!B3:B12,"07/2025",Base_Fiscal!R3:R12)</f>
        <v/>
      </c>
      <c r="F9" s="7">
        <f>SUMIF(Base_Fiscal!B3:B12,"07/2025",Base_Fiscal!T3:T12)</f>
        <v/>
      </c>
      <c r="G9" s="7">
        <f>SUMIF(Base_Fiscal!B3:B12,"07/2025",Base_Fiscal!U3:U12)</f>
        <v/>
      </c>
      <c r="H9" s="7">
        <f>SUMIF(Base_Fiscal!B3:B12,"07/2025",Base_Fiscal!V3:V12)</f>
        <v/>
      </c>
      <c r="I9" s="6">
        <f>D9+F9+G9+H9</f>
        <v/>
      </c>
      <c r="J9" s="7">
        <f>SUMIF(Base_Fiscal!B3:B12,"07/2025",Base_Fiscal!J3:J12)</f>
        <v/>
      </c>
      <c r="K9" s="7">
        <f>B9-J9-G9-H9</f>
        <v/>
      </c>
      <c r="L9" s="6">
        <f>B9-J9-I9</f>
        <v/>
      </c>
      <c r="M9" s="21">
        <f>IF(B9&lt;&gt;0;L9/B9;0)</f>
        <v/>
      </c>
      <c r="N9" s="20">
        <f>IF(M9&gt;0.20;"Excelente";IF(M9&gt;=0.10;"Atenção";"Crítico"))</f>
        <v/>
      </c>
    </row>
    <row r="10">
      <c r="A10" s="22" t="inlineStr">
        <is>
          <t>08/2025</t>
        </is>
      </c>
      <c r="B10" s="11">
        <f>SUMIF(Base_Fiscal!B3:B12,"08/2025",Base_Fiscal!P3:P12)</f>
        <v/>
      </c>
      <c r="C10" s="11">
        <f>SUMIF(Base_Fiscal!B3:B12,"08/2025",Base_Fiscal!Q3:Q12)</f>
        <v/>
      </c>
      <c r="D10" s="11">
        <f>SUMIF(Base_Fiscal!B3:B12,"08/2025",Base_Fiscal!S3:S12)</f>
        <v/>
      </c>
      <c r="E10" s="11">
        <f>SUMIF(Base_Fiscal!B3:B12,"08/2025",Base_Fiscal!R3:R12)</f>
        <v/>
      </c>
      <c r="F10" s="11">
        <f>SUMIF(Base_Fiscal!B3:B12,"08/2025",Base_Fiscal!T3:T12)</f>
        <v/>
      </c>
      <c r="G10" s="11">
        <f>SUMIF(Base_Fiscal!B3:B12,"08/2025",Base_Fiscal!U3:U12)</f>
        <v/>
      </c>
      <c r="H10" s="11">
        <f>SUMIF(Base_Fiscal!B3:B12,"08/2025",Base_Fiscal!V3:V12)</f>
        <v/>
      </c>
      <c r="I10" s="10">
        <f>D10+F10+G10+H10</f>
        <v/>
      </c>
      <c r="J10" s="11">
        <f>SUMIF(Base_Fiscal!B3:B12,"08/2025",Base_Fiscal!J3:J12)</f>
        <v/>
      </c>
      <c r="K10" s="11">
        <f>B10-J10-G10-H10</f>
        <v/>
      </c>
      <c r="L10" s="10">
        <f>B10-J10-I10</f>
        <v/>
      </c>
      <c r="M10" s="23">
        <f>IF(B10&lt;&gt;0;L10/B10;0)</f>
        <v/>
      </c>
      <c r="N10" s="22">
        <f>IF(M10&gt;0.20;"Excelente";IF(M10&gt;=0.10;"Atenção";"Crítico"))</f>
        <v/>
      </c>
    </row>
    <row r="11">
      <c r="A11" s="24" t="inlineStr">
        <is>
          <t>TOTAIS ACUMULADOS</t>
        </is>
      </c>
      <c r="B11" s="15">
        <f>SUM(B3:B10)</f>
        <v/>
      </c>
      <c r="C11" s="15">
        <f>SUM(C3:C10)</f>
        <v/>
      </c>
      <c r="D11" s="15">
        <f>SUM(D3:D10)</f>
        <v/>
      </c>
      <c r="E11" s="15">
        <f>SUM(E3:E10)</f>
        <v/>
      </c>
      <c r="F11" s="15">
        <f>SUM(F3:F10)</f>
        <v/>
      </c>
      <c r="G11" s="15">
        <f>SUM(G3:G10)</f>
        <v/>
      </c>
      <c r="H11" s="15">
        <f>SUM(H3:H10)</f>
        <v/>
      </c>
      <c r="I11" s="15">
        <f>SUM(I3:I10)</f>
        <v/>
      </c>
      <c r="J11" s="15">
        <f>SUM(J3:J10)</f>
        <v/>
      </c>
      <c r="K11" s="15">
        <f>SUM(K3:K10)</f>
        <v/>
      </c>
      <c r="L11" s="15">
        <f>SUM(L3:L10)</f>
        <v/>
      </c>
      <c r="M11" s="25">
        <f>AVERAGE(M3:M10)</f>
        <v/>
      </c>
      <c r="N11" s="26" t="n"/>
    </row>
    <row r="13">
      <c r="A13" s="27" t="inlineStr">
        <is>
          <t>INDICADORES AUXILIARES</t>
        </is>
      </c>
    </row>
    <row r="14">
      <c r="A14" s="28" t="inlineStr">
        <is>
          <t>Média mensal de receita (R$):</t>
        </is>
      </c>
      <c r="B14" s="29">
        <f>AVERAGE(B3:B10)</f>
        <v/>
      </c>
    </row>
    <row r="15">
      <c r="A15" s="28" t="inlineStr">
        <is>
          <t>Total tributos período (R$):</t>
        </is>
      </c>
      <c r="B15" s="29">
        <f>I11</f>
        <v/>
      </c>
    </row>
    <row r="16">
      <c r="A16" s="28" t="inlineStr">
        <is>
          <t>% tributos s/ receita total:</t>
        </is>
      </c>
      <c r="B16" s="29">
        <f>IF(B11&lt;&gt;0;I11/B11;0)</f>
        <v/>
      </c>
    </row>
    <row r="17">
      <c r="A17" s="28" t="inlineStr">
        <is>
          <t>Participação IRPJ no total (%):</t>
        </is>
      </c>
      <c r="B17" s="30">
        <f>IF(I11&lt;&gt;0;D11/I11;0)</f>
        <v/>
      </c>
    </row>
    <row r="18">
      <c r="A18" s="28" t="inlineStr">
        <is>
          <t>Maior lucro líquido mensal (R$):</t>
        </is>
      </c>
      <c r="B18" s="29">
        <f>MAX(L3:L10)</f>
        <v/>
      </c>
    </row>
    <row r="19">
      <c r="A19" s="28" t="inlineStr">
        <is>
          <t>Menor lucro líquido mensal (R$):</t>
        </is>
      </c>
      <c r="B19" s="29">
        <f>MIN(L3:L10)</f>
        <v/>
      </c>
    </row>
    <row r="20">
      <c r="A20" s="28" t="inlineStr">
        <is>
          <t>Meses acima da meta de margem (&gt;15%):</t>
        </is>
      </c>
      <c r="B20" s="30">
        <f>COUNTIF(M3:M10,"&gt;0.15")</f>
        <v/>
      </c>
    </row>
    <row r="21">
      <c r="A21" s="28" t="inlineStr">
        <is>
          <t>Meses com cenário Excelente:</t>
        </is>
      </c>
      <c r="B21" s="31">
        <f>COUNTIF(N3:N10,"Excelente")</f>
        <v/>
      </c>
    </row>
    <row r="22">
      <c r="A22" s="28" t="inlineStr">
        <is>
          <t>Meses com cenário Crítico:</t>
        </is>
      </c>
      <c r="B22" s="31">
        <f>COUNTIF(N3:N10,"Crítico")</f>
        <v/>
      </c>
    </row>
  </sheetData>
  <mergeCells count="1">
    <mergeCell ref="A1:N1"/>
  </mergeCells>
  <conditionalFormatting sqref="N3:N10">
    <cfRule type="expression" priority="1" dxfId="0" stopIfTrue="0">
      <formula>N3="Excelente"</formula>
    </cfRule>
    <cfRule type="expression" priority="2" dxfId="1" stopIfTrue="0">
      <formula>N3="Crítico"</formula>
    </cfRule>
  </conditionalFormatting>
  <conditionalFormatting sqref="L3:L10">
    <cfRule type="expression" priority="3" dxfId="0" stopIfTrue="0">
      <formula>L3&gt;0</formula>
    </cfRule>
    <cfRule type="expression" priority="4" dxfId="1" stopIfTrue="0">
      <formula>L3&lt;0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34" customHeight="1">
      <c r="A1" s="32" t="inlineStr">
        <is>
          <t>DASHBOARD — APURAÇÃO LUCRO PRESUMIDO 2025</t>
        </is>
      </c>
    </row>
    <row r="3" ht="22" customHeight="1">
      <c r="A3" s="33" t="inlineStr">
        <is>
          <t>Receita Total</t>
        </is>
      </c>
      <c r="B3" s="34" t="n"/>
      <c r="C3" s="35" t="n"/>
      <c r="D3" s="33" t="inlineStr">
        <is>
          <t>Total de Tributos</t>
        </is>
      </c>
      <c r="E3" s="34" t="n"/>
      <c r="F3" s="35" t="n"/>
      <c r="G3" s="33" t="inlineStr">
        <is>
          <t>Lucro Líquido</t>
        </is>
      </c>
      <c r="H3" s="34" t="n"/>
      <c r="I3" s="35" t="n"/>
      <c r="J3" s="33" t="inlineStr">
        <is>
          <t>Margem Média</t>
        </is>
      </c>
      <c r="K3" s="34" t="n"/>
      <c r="L3" s="35" t="n"/>
    </row>
    <row r="4" ht="30" customHeight="1">
      <c r="A4" s="36">
        <f>Resumo_Tributário!B11</f>
        <v/>
      </c>
      <c r="B4" s="34" t="n"/>
      <c r="C4" s="35" t="n"/>
      <c r="D4" s="37">
        <f>Resumo_Tributário!I11</f>
        <v/>
      </c>
      <c r="E4" s="34" t="n"/>
      <c r="F4" s="35" t="n"/>
      <c r="G4" s="38">
        <f>Resumo_Tributário!L11</f>
        <v/>
      </c>
      <c r="H4" s="34" t="n"/>
      <c r="I4" s="35" t="n"/>
      <c r="J4" s="39">
        <f>Resumo_Tributário!M11</f>
        <v/>
      </c>
      <c r="K4" s="34" t="n"/>
      <c r="L4" s="35" t="n"/>
    </row>
    <row r="5">
      <c r="A5" s="40" t="inlineStr">
        <is>
          <t>Meses analisados: 8  |  Empresas: 6  |  Regime: Lucro Presumido</t>
        </is>
      </c>
    </row>
    <row r="7">
      <c r="A7" s="2" t="inlineStr">
        <is>
          <t>Competência</t>
        </is>
      </c>
      <c r="B7" s="2" t="inlineStr">
        <is>
          <t>Receita Total</t>
        </is>
      </c>
      <c r="C7" s="2" t="inlineStr">
        <is>
          <t>Total Tributos</t>
        </is>
      </c>
      <c r="D7" s="2" t="inlineStr">
        <is>
          <t>Lucro Líquido</t>
        </is>
      </c>
      <c r="F7" s="2" t="inlineStr">
        <is>
          <t>Competência</t>
        </is>
      </c>
      <c r="G7" s="2" t="inlineStr">
        <is>
          <t>Margem %</t>
        </is>
      </c>
      <c r="I7" s="41" t="inlineStr">
        <is>
          <t>Tributo</t>
        </is>
      </c>
      <c r="J7" s="41" t="inlineStr">
        <is>
          <t>Valor (R$)</t>
        </is>
      </c>
    </row>
    <row r="8">
      <c r="A8" s="42" t="inlineStr">
        <is>
          <t>01/2025</t>
        </is>
      </c>
      <c r="B8" s="43">
        <f>Resumo_Tributário!B3</f>
        <v/>
      </c>
      <c r="C8" s="43">
        <f>Resumo_Tributário!I3</f>
        <v/>
      </c>
      <c r="D8" s="43">
        <f>Resumo_Tributário!L3</f>
        <v/>
      </c>
      <c r="F8" s="42" t="inlineStr">
        <is>
          <t>01/2025</t>
        </is>
      </c>
      <c r="G8" s="44">
        <f>Resumo_Tributário!M3</f>
        <v/>
      </c>
      <c r="I8" s="45" t="inlineStr">
        <is>
          <t>IRPJ</t>
        </is>
      </c>
      <c r="J8" s="46">
        <f>Resumo_Tributário!D11</f>
        <v/>
      </c>
    </row>
    <row r="9">
      <c r="A9" s="42" t="inlineStr">
        <is>
          <t>02/2025</t>
        </is>
      </c>
      <c r="B9" s="43">
        <f>Resumo_Tributário!B4</f>
        <v/>
      </c>
      <c r="C9" s="43">
        <f>Resumo_Tributário!I4</f>
        <v/>
      </c>
      <c r="D9" s="43">
        <f>Resumo_Tributário!L4</f>
        <v/>
      </c>
      <c r="F9" s="42" t="inlineStr">
        <is>
          <t>02/2025</t>
        </is>
      </c>
      <c r="G9" s="44">
        <f>Resumo_Tributário!M4</f>
        <v/>
      </c>
      <c r="I9" s="45" t="inlineStr">
        <is>
          <t>CSLL</t>
        </is>
      </c>
      <c r="J9" s="46">
        <f>Resumo_Tributário!F11</f>
        <v/>
      </c>
    </row>
    <row r="10">
      <c r="A10" s="42" t="inlineStr">
        <is>
          <t>03/2025</t>
        </is>
      </c>
      <c r="B10" s="43">
        <f>Resumo_Tributário!B5</f>
        <v/>
      </c>
      <c r="C10" s="43">
        <f>Resumo_Tributário!I5</f>
        <v/>
      </c>
      <c r="D10" s="43">
        <f>Resumo_Tributário!L5</f>
        <v/>
      </c>
      <c r="F10" s="42" t="inlineStr">
        <is>
          <t>03/2025</t>
        </is>
      </c>
      <c r="G10" s="44">
        <f>Resumo_Tributário!M5</f>
        <v/>
      </c>
      <c r="I10" s="45" t="inlineStr">
        <is>
          <t>PIS</t>
        </is>
      </c>
      <c r="J10" s="46">
        <f>Resumo_Tributário!G11</f>
        <v/>
      </c>
    </row>
    <row r="11">
      <c r="A11" s="42" t="inlineStr">
        <is>
          <t>04/2025</t>
        </is>
      </c>
      <c r="B11" s="43">
        <f>Resumo_Tributário!B6</f>
        <v/>
      </c>
      <c r="C11" s="43">
        <f>Resumo_Tributário!I6</f>
        <v/>
      </c>
      <c r="D11" s="43">
        <f>Resumo_Tributário!L6</f>
        <v/>
      </c>
      <c r="F11" s="42" t="inlineStr">
        <is>
          <t>04/2025</t>
        </is>
      </c>
      <c r="G11" s="44">
        <f>Resumo_Tributário!M6</f>
        <v/>
      </c>
      <c r="I11" s="45" t="inlineStr">
        <is>
          <t>COFINS</t>
        </is>
      </c>
      <c r="J11" s="46">
        <f>Resumo_Tributário!H11</f>
        <v/>
      </c>
    </row>
    <row r="12">
      <c r="A12" s="42" t="inlineStr">
        <is>
          <t>05/2025</t>
        </is>
      </c>
      <c r="B12" s="43">
        <f>Resumo_Tributário!B7</f>
        <v/>
      </c>
      <c r="C12" s="43">
        <f>Resumo_Tributário!I7</f>
        <v/>
      </c>
      <c r="D12" s="43">
        <f>Resumo_Tributário!L7</f>
        <v/>
      </c>
      <c r="F12" s="42" t="inlineStr">
        <is>
          <t>05/2025</t>
        </is>
      </c>
      <c r="G12" s="44">
        <f>Resumo_Tributário!M7</f>
        <v/>
      </c>
    </row>
    <row r="13">
      <c r="A13" s="42" t="inlineStr">
        <is>
          <t>06/2025</t>
        </is>
      </c>
      <c r="B13" s="43">
        <f>Resumo_Tributário!B8</f>
        <v/>
      </c>
      <c r="C13" s="43">
        <f>Resumo_Tributário!I8</f>
        <v/>
      </c>
      <c r="D13" s="43">
        <f>Resumo_Tributário!L8</f>
        <v/>
      </c>
      <c r="F13" s="42" t="inlineStr">
        <is>
          <t>06/2025</t>
        </is>
      </c>
      <c r="G13" s="44">
        <f>Resumo_Tributário!M8</f>
        <v/>
      </c>
    </row>
    <row r="14">
      <c r="A14" s="42" t="inlineStr">
        <is>
          <t>07/2025</t>
        </is>
      </c>
      <c r="B14" s="43">
        <f>Resumo_Tributário!B9</f>
        <v/>
      </c>
      <c r="C14" s="43">
        <f>Resumo_Tributário!I9</f>
        <v/>
      </c>
      <c r="D14" s="43">
        <f>Resumo_Tributário!L9</f>
        <v/>
      </c>
      <c r="F14" s="42" t="inlineStr">
        <is>
          <t>07/2025</t>
        </is>
      </c>
      <c r="G14" s="44">
        <f>Resumo_Tributário!M9</f>
        <v/>
      </c>
    </row>
    <row r="15">
      <c r="A15" s="42" t="inlineStr">
        <is>
          <t>08/2025</t>
        </is>
      </c>
      <c r="B15" s="43">
        <f>Resumo_Tributário!B10</f>
        <v/>
      </c>
      <c r="C15" s="43">
        <f>Resumo_Tributário!I10</f>
        <v/>
      </c>
      <c r="D15" s="43">
        <f>Resumo_Tributário!L10</f>
        <v/>
      </c>
      <c r="F15" s="42" t="inlineStr">
        <is>
          <t>08/2025</t>
        </is>
      </c>
      <c r="G15" s="44">
        <f>Resumo_Tributário!M10</f>
        <v/>
      </c>
    </row>
  </sheetData>
  <mergeCells count="10">
    <mergeCell ref="A1:L1"/>
    <mergeCell ref="A3:C3"/>
    <mergeCell ref="A4:C4"/>
    <mergeCell ref="D3:F3"/>
    <mergeCell ref="D4:F4"/>
    <mergeCell ref="G3:I3"/>
    <mergeCell ref="G4:I4"/>
    <mergeCell ref="J3:L3"/>
    <mergeCell ref="J4:L4"/>
    <mergeCell ref="A5:L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INSTRUÇÕES DE USO — PLANILHA DE LUCRO PRESUMIDO</t>
        </is>
      </c>
    </row>
    <row r="2" ht="28" customHeight="1">
      <c r="A2" s="47" t="inlineStr">
        <is>
          <t>PLANILHAS</t>
        </is>
      </c>
      <c r="B2" s="34" t="n"/>
      <c r="C2" s="34" t="n"/>
      <c r="D2" s="34" t="n"/>
      <c r="E2" s="34" t="n"/>
      <c r="F2" s="35" t="n"/>
    </row>
    <row r="3" ht="28" customHeight="1">
      <c r="A3" s="28" t="inlineStr">
        <is>
          <t>Base_Fiscal</t>
        </is>
      </c>
      <c r="B3" s="48" t="inlineStr">
        <is>
          <t>Registre os dados de cada competência: receita bruta, outras receitas, despesas operacionais, atividade e alíquotas. Os campos em amarelo são de entrada manual.</t>
        </is>
      </c>
      <c r="C3" s="34" t="n"/>
      <c r="D3" s="34" t="n"/>
      <c r="E3" s="34" t="n"/>
      <c r="F3" s="35" t="n"/>
    </row>
    <row r="4" ht="28" customHeight="1">
      <c r="A4" s="28" t="inlineStr">
        <is>
          <t>Resumo_Tributário</t>
        </is>
      </c>
      <c r="B4" s="49" t="inlineStr">
        <is>
          <t>Consolida automaticamente os dados da Base_Fiscal por mês. Utilize para acompanhamento mensal de tributos e resultados.</t>
        </is>
      </c>
      <c r="C4" s="34" t="n"/>
      <c r="D4" s="34" t="n"/>
      <c r="E4" s="34" t="n"/>
      <c r="F4" s="35" t="n"/>
    </row>
    <row r="5" ht="28" customHeight="1">
      <c r="A5" s="28" t="inlineStr">
        <is>
          <t>Dashboard</t>
        </is>
      </c>
      <c r="B5" s="48" t="inlineStr">
        <is>
          <t>Visão gerencial com cards de indicadores e gráficos. Não edite diretamente — alimentado pelas outras abas.</t>
        </is>
      </c>
      <c r="C5" s="34" t="n"/>
      <c r="D5" s="34" t="n"/>
      <c r="E5" s="34" t="n"/>
      <c r="F5" s="35" t="n"/>
    </row>
    <row r="6" ht="28" customHeight="1">
      <c r="A6" t="inlineStr"/>
      <c r="B6" t="inlineStr"/>
    </row>
    <row r="7" ht="28" customHeight="1">
      <c r="A7" s="47" t="inlineStr">
        <is>
          <t>TRIBUTOS NO LUCRO PRESUMIDO</t>
        </is>
      </c>
      <c r="B7" s="34" t="n"/>
      <c r="C7" s="34" t="n"/>
      <c r="D7" s="34" t="n"/>
      <c r="E7" s="34" t="n"/>
      <c r="F7" s="35" t="n"/>
    </row>
    <row r="8" ht="28" customHeight="1">
      <c r="A8" s="28" t="inlineStr">
        <is>
          <t>IRPJ</t>
        </is>
      </c>
      <c r="B8" s="49" t="inlineStr">
        <is>
          <t>Imposto de Renda Pessoa Jurídica. Base de cálculo presumida: 8% para comércio/indústria, 32% para serviços em geral. Alíquota: 15% + adicional de 10% sobre base mensal que exceder R$ 20.000.</t>
        </is>
      </c>
      <c r="C8" s="34" t="n"/>
      <c r="D8" s="34" t="n"/>
      <c r="E8" s="34" t="n"/>
      <c r="F8" s="35" t="n"/>
    </row>
    <row r="9" ht="28" customHeight="1">
      <c r="A9" s="28" t="inlineStr">
        <is>
          <t>CSLL</t>
        </is>
      </c>
      <c r="B9" s="48" t="inlineStr">
        <is>
          <t>Contribuição Social sobre o Lucro Líquido. Base presumida: 12% para comércio, 32% para serviços. Alíquota: 9%.</t>
        </is>
      </c>
      <c r="C9" s="34" t="n"/>
      <c r="D9" s="34" t="n"/>
      <c r="E9" s="34" t="n"/>
      <c r="F9" s="35" t="n"/>
    </row>
    <row r="10" ht="28" customHeight="1">
      <c r="A10" s="28" t="inlineStr">
        <is>
          <t>PIS</t>
        </is>
      </c>
      <c r="B10" s="49" t="inlineStr">
        <is>
          <t>Programa de Integração Social. No Lucro Presumido: alíquota cumulativa de 0,65% sobre a receita bruta.</t>
        </is>
      </c>
      <c r="C10" s="34" t="n"/>
      <c r="D10" s="34" t="n"/>
      <c r="E10" s="34" t="n"/>
      <c r="F10" s="35" t="n"/>
    </row>
    <row r="11" ht="28" customHeight="1">
      <c r="A11" s="28" t="inlineStr">
        <is>
          <t>COFINS</t>
        </is>
      </c>
      <c r="B11" s="48" t="inlineStr">
        <is>
          <t>Contribuição para o Financiamento da Seguridade Social. No Lucro Presumido: alíquota cumulativa de 3,00% sobre a receita bruta.</t>
        </is>
      </c>
      <c r="C11" s="34" t="n"/>
      <c r="D11" s="34" t="n"/>
      <c r="E11" s="34" t="n"/>
      <c r="F11" s="35" t="n"/>
    </row>
    <row r="12" ht="28" customHeight="1">
      <c r="A12" t="inlineStr"/>
      <c r="B12" t="inlineStr"/>
    </row>
    <row r="13" ht="28" customHeight="1">
      <c r="A13" s="47" t="inlineStr">
        <is>
          <t>PERCENTUAIS PRESUMIDOS</t>
        </is>
      </c>
      <c r="B13" s="34" t="n"/>
      <c r="C13" s="34" t="n"/>
      <c r="D13" s="34" t="n"/>
      <c r="E13" s="34" t="n"/>
      <c r="F13" s="35" t="n"/>
    </row>
    <row r="14" ht="28" customHeight="1">
      <c r="A14" s="28" t="inlineStr">
        <is>
          <t>Comércio / Indústria</t>
        </is>
      </c>
      <c r="B14" s="49" t="inlineStr">
        <is>
          <t>Base IRPJ: 8% | Base CSLL: 12% — aplicáveis sobre a receita bruta de vendas de mercadorias.</t>
        </is>
      </c>
      <c r="C14" s="34" t="n"/>
      <c r="D14" s="34" t="n"/>
      <c r="E14" s="34" t="n"/>
      <c r="F14" s="35" t="n"/>
    </row>
    <row r="15" ht="28" customHeight="1">
      <c r="A15" s="28" t="inlineStr">
        <is>
          <t>Serviços em geral</t>
        </is>
      </c>
      <c r="B15" s="48" t="inlineStr">
        <is>
          <t>Base IRPJ: 32% | Base CSLL: 32% — aplicáveis sobre a receita bruta de prestação de serviços.</t>
        </is>
      </c>
      <c r="C15" s="34" t="n"/>
      <c r="D15" s="34" t="n"/>
      <c r="E15" s="34" t="n"/>
      <c r="F15" s="35" t="n"/>
    </row>
    <row r="16" ht="28" customHeight="1">
      <c r="A16" s="28" t="inlineStr">
        <is>
          <t>Atividades mistas</t>
        </is>
      </c>
      <c r="B16" s="49" t="inlineStr">
        <is>
          <t>Em caso de múltiplas atividades, calcular percentuais separadamente para cada receita.</t>
        </is>
      </c>
      <c r="C16" s="34" t="n"/>
      <c r="D16" s="34" t="n"/>
      <c r="E16" s="34" t="n"/>
      <c r="F16" s="35" t="n"/>
    </row>
    <row r="17" ht="28" customHeight="1">
      <c r="A17" t="inlineStr"/>
      <c r="B17" t="inlineStr"/>
    </row>
    <row r="18" ht="28" customHeight="1">
      <c r="A18" s="47" t="inlineStr">
        <is>
          <t>ATENÇÃO</t>
        </is>
      </c>
      <c r="B18" s="34" t="n"/>
      <c r="C18" s="34" t="n"/>
      <c r="D18" s="34" t="n"/>
      <c r="E18" s="34" t="n"/>
      <c r="F18" s="35" t="n"/>
    </row>
    <row r="19" ht="28" customHeight="1">
      <c r="A19" s="28" t="inlineStr">
        <is>
          <t>ISS e ICMS</t>
        </is>
      </c>
      <c r="B19" s="48" t="inlineStr">
        <is>
          <t>Esta planilha não contempla ISS (Imposto sobre Serviços) nem ICMS (Imposto sobre Circulação de Mercadorias). Avalie individualmente conforme a atividade e município.</t>
        </is>
      </c>
      <c r="C19" s="34" t="n"/>
      <c r="D19" s="34" t="n"/>
      <c r="E19" s="34" t="n"/>
      <c r="F19" s="35" t="n"/>
    </row>
    <row r="20" ht="28" customHeight="1">
      <c r="A20" s="28" t="inlineStr">
        <is>
          <t>Retenções na fonte</t>
        </is>
      </c>
      <c r="B20" s="49" t="inlineStr">
        <is>
          <t>Verifique retenções de IRPJ, CSLL, PIS e COFINS nas notas fiscais emitidas. Deduza dos tributos a pagar quando aplicável.</t>
        </is>
      </c>
      <c r="C20" s="34" t="n"/>
      <c r="D20" s="34" t="n"/>
      <c r="E20" s="34" t="n"/>
      <c r="F20" s="35" t="n"/>
    </row>
    <row r="21" ht="28" customHeight="1">
      <c r="A21" s="28" t="inlineStr">
        <is>
          <t>Simples Nacional</t>
        </is>
      </c>
      <c r="B21" s="48" t="inlineStr">
        <is>
          <t>Empresas optantes pelo Simples Nacional não utilizam este regime. Confirme o regime tributário antes de usar esta planilha.</t>
        </is>
      </c>
      <c r="C21" s="34" t="n"/>
      <c r="D21" s="34" t="n"/>
      <c r="E21" s="34" t="n"/>
      <c r="F21" s="35" t="n"/>
    </row>
    <row r="22" ht="28" customHeight="1">
      <c r="A22" s="28" t="inlineStr">
        <is>
          <t>Uso gerencial</t>
        </is>
      </c>
      <c r="B22" s="49" t="inlineStr">
        <is>
          <t>Esta planilha é uma ferramenta GERENCIAL. Não substitui a escrituração contábil oficial, a DCTF, o SPED Contábil nem o acompanhamento de contador habilitado.</t>
        </is>
      </c>
      <c r="C22" s="34" t="n"/>
      <c r="D22" s="34" t="n"/>
      <c r="E22" s="34" t="n"/>
      <c r="F22" s="35" t="n"/>
    </row>
    <row r="23" ht="28" customHeight="1">
      <c r="A23" s="28" t="inlineStr">
        <is>
          <t>Revisão periódica</t>
        </is>
      </c>
      <c r="B23" s="48" t="inlineStr">
        <is>
          <t>Revise alíquotas, percentuais presumidos e limites de adicional do IRPJ a cada exercício fiscal, pois podem sofrer alterações legislativas.</t>
        </is>
      </c>
      <c r="C23" s="34" t="n"/>
      <c r="D23" s="34" t="n"/>
      <c r="E23" s="34" t="n"/>
      <c r="F23" s="35" t="n"/>
    </row>
    <row r="24" ht="28" customHeight="1">
      <c r="A24" t="inlineStr"/>
      <c r="B24" t="inlineStr"/>
    </row>
    <row r="25" ht="28" customHeight="1">
      <c r="A25" s="47" t="inlineStr">
        <is>
          <t>COMO PREENCHER</t>
        </is>
      </c>
      <c r="B25" s="34" t="n"/>
      <c r="C25" s="34" t="n"/>
      <c r="D25" s="34" t="n"/>
      <c r="E25" s="34" t="n"/>
      <c r="F25" s="35" t="n"/>
    </row>
    <row r="26" ht="28" customHeight="1">
      <c r="A26" s="28" t="inlineStr">
        <is>
          <t>Passo 1</t>
        </is>
      </c>
      <c r="B26" s="49" t="inlineStr">
        <is>
          <t>Na aba Base_Fiscal, preencha os campos em amarelo: Competência, Razão Social, CNPJ, UF, Município, Atividade, Receita Bruta, Outras Receitas, Despesas Operacionais.</t>
        </is>
      </c>
      <c r="C26" s="34" t="n"/>
      <c r="D26" s="34" t="n"/>
      <c r="E26" s="34" t="n"/>
      <c r="F26" s="35" t="n"/>
    </row>
    <row r="27" ht="28" customHeight="1">
      <c r="A27" s="28" t="inlineStr">
        <is>
          <t>Passo 2</t>
        </is>
      </c>
      <c r="B27" s="48" t="inlineStr">
        <is>
          <t>Confirme os percentuais presumidos (cols K e L) conforme a atividade informada. Ajuste se houver atividade mista.</t>
        </is>
      </c>
      <c r="C27" s="34" t="n"/>
      <c r="D27" s="34" t="n"/>
      <c r="E27" s="34" t="n"/>
      <c r="F27" s="35" t="n"/>
    </row>
    <row r="28" ht="28" customHeight="1">
      <c r="A28" s="28" t="inlineStr">
        <is>
          <t>Passo 3</t>
        </is>
      </c>
      <c r="B28" s="49" t="inlineStr">
        <is>
          <t>As colunas de tributos (IRPJ, CSLL, PIS, COFINS) e resultado são calculadas automaticamente por fórmulas.</t>
        </is>
      </c>
      <c r="C28" s="34" t="n"/>
      <c r="D28" s="34" t="n"/>
      <c r="E28" s="34" t="n"/>
      <c r="F28" s="35" t="n"/>
    </row>
    <row r="29" ht="28" customHeight="1">
      <c r="A29" s="28" t="inlineStr">
        <is>
          <t>Passo 4</t>
        </is>
      </c>
      <c r="B29" s="48" t="inlineStr">
        <is>
          <t>Acompanhe o Resumo_Tributário para visão consolidada por competência e analise os cenários (Excelente/Atenção/Crítico).</t>
        </is>
      </c>
      <c r="C29" s="34" t="n"/>
      <c r="D29" s="34" t="n"/>
      <c r="E29" s="34" t="n"/>
      <c r="F29" s="35" t="n"/>
    </row>
    <row r="30" ht="28" customHeight="1">
      <c r="A30" s="28" t="inlineStr">
        <is>
          <t>Passo 5</t>
        </is>
      </c>
      <c r="B30" s="49" t="inlineStr">
        <is>
          <t>Use o Dashboard para apresentações gerenciais e análise visual da evolução tributária e de resultados.</t>
        </is>
      </c>
      <c r="C30" s="34" t="n"/>
      <c r="D30" s="34" t="n"/>
      <c r="E30" s="34" t="n"/>
      <c r="F30" s="35" t="n"/>
    </row>
  </sheetData>
  <mergeCells count="26">
    <mergeCell ref="A1:F1"/>
    <mergeCell ref="A2:F2"/>
    <mergeCell ref="B3:F3"/>
    <mergeCell ref="B4:F4"/>
    <mergeCell ref="B5:F5"/>
    <mergeCell ref="A7:F7"/>
    <mergeCell ref="B8:F8"/>
    <mergeCell ref="B9:F9"/>
    <mergeCell ref="B10:F10"/>
    <mergeCell ref="B11:F11"/>
    <mergeCell ref="A13:F13"/>
    <mergeCell ref="B14:F14"/>
    <mergeCell ref="B15:F15"/>
    <mergeCell ref="B16:F16"/>
    <mergeCell ref="A18:F18"/>
    <mergeCell ref="B19:F19"/>
    <mergeCell ref="B20:F20"/>
    <mergeCell ref="B21:F21"/>
    <mergeCell ref="B22:F22"/>
    <mergeCell ref="B23:F23"/>
    <mergeCell ref="A25:F25"/>
    <mergeCell ref="B26:F26"/>
    <mergeCell ref="B27:F27"/>
    <mergeCell ref="B28:F28"/>
    <mergeCell ref="B29:F29"/>
    <mergeCell ref="B30:F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2026-05-24T11:41:04Z</dcterms:created>
  <dcterms:modified xmlns:dcterms="http://purl.org/dc/terms/" xmlns:xsi="http://www.w3.org/2001/XMLSchema-instance" xsi:type="dcterms:W3CDTF">2026-05-24T11:41:04Z</dcterms:modified>
</cp:coreProperties>
</file>