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elas" sheetId="1" state="visible" r:id="rId1"/>
    <sheet xmlns:r="http://schemas.openxmlformats.org/officeDocument/2006/relationships" name="OS (Base)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nstruções" sheetId="4" state="visible" r:id="rId4"/>
  </sheets>
  <definedNames>
    <definedName name="_xlnm._FilterDatabase" localSheetId="1" hidden="1">'OS (Base)'!$A$1:$AF$1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YYYY"/>
    <numFmt numFmtId="166" formatCode="R$ #,##0.00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6"/>
    </font>
    <font>
      <name val="Calibri"/>
      <b val="1"/>
      <color rgb="00FFFFFF"/>
      <sz val="10"/>
    </font>
    <font>
      <name val="Calibri"/>
      <b val="1"/>
      <color rgb="000F766E"/>
      <sz val="14"/>
    </font>
    <font>
      <name val="Calibri"/>
      <b val="1"/>
      <sz val="10"/>
    </font>
    <font>
      <name val="Calibri"/>
      <b val="1"/>
      <color rgb="00FFFFFF"/>
      <sz val="14"/>
    </font>
  </fonts>
  <fills count="7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14B8A6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9" fontId="2" fillId="0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5" fontId="2" fillId="3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 wrapText="1"/>
    </xf>
    <xf numFmtId="165" fontId="2" fillId="4" borderId="1" applyAlignment="1" pivotButton="0" quotePrefix="0" xfId="0">
      <alignment horizontal="center" vertical="center"/>
    </xf>
    <xf numFmtId="166" fontId="2" fillId="4" borderId="1" applyAlignment="1" pivotButton="0" quotePrefix="0" xfId="0">
      <alignment horizontal="center" vertical="center"/>
    </xf>
    <xf numFmtId="166" fontId="2" fillId="3" borderId="1" applyAlignment="1" pivotButton="0" quotePrefix="0" xfId="0">
      <alignment horizontal="center" vertical="center"/>
    </xf>
    <xf numFmtId="9" fontId="2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center" vertical="center"/>
    </xf>
    <xf numFmtId="165" fontId="2" fillId="5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left" vertical="center" wrapText="1"/>
    </xf>
    <xf numFmtId="166" fontId="2" fillId="5" borderId="1" applyAlignment="1" pivotButton="0" quotePrefix="0" xfId="0">
      <alignment horizontal="center" vertical="center"/>
    </xf>
    <xf numFmtId="9" fontId="2" fillId="5" borderId="1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0" fontId="0" fillId="0" borderId="4" pivotButton="0" quotePrefix="0" xfId="0"/>
    <xf numFmtId="0" fontId="5" fillId="3" borderId="1" applyAlignment="1" pivotButton="0" quotePrefix="0" xfId="0">
      <alignment horizontal="center" vertical="center"/>
    </xf>
    <xf numFmtId="166" fontId="5" fillId="3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center" vertical="center"/>
    </xf>
    <xf numFmtId="0" fontId="7" fillId="2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b val="1"/>
        <color rgb="00FFFFFF"/>
        <sz val="10"/>
      </font>
      <fill>
        <patternFill patternType="solid">
          <fgColor rgb="00DC2626"/>
        </patternFill>
      </fill>
    </dxf>
    <dxf>
      <font>
        <name val="Calibri"/>
        <b val="1"/>
        <color rgb="00FFFFFF"/>
        <sz val="10"/>
      </font>
      <fill>
        <patternFill patternType="solid">
          <fgColor rgb="0022C55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OS por Status</a:t>
            </a:r>
          </a:p>
        </rich>
      </tx>
    </title>
    <plotArea>
      <pieChart>
        <varyColors val="1"/>
        <ser>
          <idx val="0"/>
          <order val="0"/>
          <tx>
            <strRef>
              <f>'Dashboard'!B6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'Dashboard'!$A$7:$A$11</f>
            </numRef>
          </cat>
          <val>
            <numRef>
              <f>'Dashboard'!$B$7:$B$11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OS por Técnico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'Dashboard'!E6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'Dashboard'!$D$7:$D$10</f>
            </numRef>
          </cat>
          <val>
            <numRef>
              <f>'Dashboard'!$E$7:$E$10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Técnico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Quantidade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12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12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6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8" customWidth="1" min="4" max="4"/>
    <col width="10" customWidth="1" min="5" max="5"/>
    <col width="20" customWidth="1" min="7" max="7"/>
    <col width="20" customWidth="1" min="8" max="8"/>
    <col width="20" customWidth="1" min="9" max="9"/>
    <col width="20" customWidth="1" min="10" max="10"/>
    <col width="20" customWidth="1" min="11" max="11"/>
  </cols>
  <sheetData>
    <row r="1">
      <c r="A1" s="1" t="inlineStr">
        <is>
          <t>Prioridade</t>
        </is>
      </c>
      <c r="B1" s="1" t="inlineStr">
        <is>
          <t>SLA (dias)</t>
        </is>
      </c>
      <c r="D1" s="1" t="inlineStr">
        <is>
          <t>Cidade</t>
        </is>
      </c>
      <c r="E1" s="1" t="inlineStr">
        <is>
          <t>ISS %</t>
        </is>
      </c>
      <c r="G1" s="1" t="inlineStr">
        <is>
          <t>Status</t>
        </is>
      </c>
      <c r="H1" s="1" t="inlineStr">
        <is>
          <t>Tipo de Serviço</t>
        </is>
      </c>
      <c r="I1" s="1" t="inlineStr">
        <is>
          <t>Técnico</t>
        </is>
      </c>
      <c r="J1" s="1" t="inlineStr">
        <is>
          <t>Forma de Pagamento</t>
        </is>
      </c>
      <c r="K1" s="1" t="inlineStr">
        <is>
          <t>Categoria</t>
        </is>
      </c>
    </row>
    <row r="2">
      <c r="A2" s="2" t="inlineStr">
        <is>
          <t>Baixa</t>
        </is>
      </c>
      <c r="B2" s="2" t="n">
        <v>5</v>
      </c>
      <c r="D2" s="3" t="inlineStr">
        <is>
          <t>São Paulo</t>
        </is>
      </c>
      <c r="E2" s="4" t="n">
        <v>0.05</v>
      </c>
      <c r="G2" s="3" t="inlineStr">
        <is>
          <t>Aberta</t>
        </is>
      </c>
      <c r="H2" s="3" t="inlineStr">
        <is>
          <t>Instalação</t>
        </is>
      </c>
      <c r="I2" s="3" t="inlineStr">
        <is>
          <t>João Lima</t>
        </is>
      </c>
      <c r="J2" s="3" t="inlineStr">
        <is>
          <t>PIX</t>
        </is>
      </c>
      <c r="K2" s="3" t="inlineStr">
        <is>
          <t>Elétrica</t>
        </is>
      </c>
    </row>
    <row r="3">
      <c r="A3" s="2" t="inlineStr">
        <is>
          <t>Média</t>
        </is>
      </c>
      <c r="B3" s="2" t="n">
        <v>3</v>
      </c>
      <c r="D3" s="3" t="inlineStr">
        <is>
          <t>Rio de Janeiro</t>
        </is>
      </c>
      <c r="E3" s="4" t="n">
        <v>0.05</v>
      </c>
      <c r="G3" s="3" t="inlineStr">
        <is>
          <t>Em andamento</t>
        </is>
      </c>
      <c r="H3" s="3" t="inlineStr">
        <is>
          <t>Manutenção</t>
        </is>
      </c>
      <c r="I3" s="3" t="inlineStr">
        <is>
          <t>Aline Pereira</t>
        </is>
      </c>
      <c r="J3" s="3" t="inlineStr">
        <is>
          <t>Cartão</t>
        </is>
      </c>
      <c r="K3" s="3" t="inlineStr">
        <is>
          <t>TI</t>
        </is>
      </c>
    </row>
    <row r="4">
      <c r="A4" s="2" t="inlineStr">
        <is>
          <t>Alta</t>
        </is>
      </c>
      <c r="B4" s="2" t="n">
        <v>1</v>
      </c>
      <c r="D4" s="3" t="inlineStr">
        <is>
          <t>Belo Horizonte</t>
        </is>
      </c>
      <c r="E4" s="4" t="n">
        <v>0.03</v>
      </c>
      <c r="G4" s="3" t="inlineStr">
        <is>
          <t>Aguardando Peça</t>
        </is>
      </c>
      <c r="H4" s="3" t="inlineStr">
        <is>
          <t>Suporte</t>
        </is>
      </c>
      <c r="I4" s="3" t="inlineStr">
        <is>
          <t>Carlos Nascimento</t>
        </is>
      </c>
      <c r="J4" s="3" t="inlineStr">
        <is>
          <t>Boleto</t>
        </is>
      </c>
      <c r="K4" s="3" t="inlineStr">
        <is>
          <t>Refrigeração</t>
        </is>
      </c>
    </row>
    <row r="5">
      <c r="D5" s="3" t="inlineStr">
        <is>
          <t>Curitiba</t>
        </is>
      </c>
      <c r="E5" s="4" t="n">
        <v>0.02</v>
      </c>
      <c r="G5" s="3" t="inlineStr">
        <is>
          <t>Concluída</t>
        </is>
      </c>
      <c r="H5" s="3" t="inlineStr">
        <is>
          <t>Vistoria</t>
        </is>
      </c>
      <c r="I5" s="3" t="inlineStr">
        <is>
          <t>Fernanda Rocha</t>
        </is>
      </c>
      <c r="J5" s="3" t="inlineStr">
        <is>
          <t>Transferência</t>
        </is>
      </c>
      <c r="K5" s="3" t="inlineStr">
        <is>
          <t>Hidráulica</t>
        </is>
      </c>
    </row>
    <row r="6">
      <c r="D6" s="3" t="inlineStr">
        <is>
          <t>Salvador</t>
        </is>
      </c>
      <c r="E6" s="4" t="n">
        <v>0.05</v>
      </c>
      <c r="G6" s="3" t="inlineStr">
        <is>
          <t>Cancelada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F11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28" customWidth="1" min="3" max="3"/>
    <col width="18" customWidth="1" min="4" max="4"/>
    <col width="18" customWidth="1" min="5" max="5"/>
    <col width="6" customWidth="1" min="6" max="6"/>
    <col width="18" customWidth="1" min="7" max="7"/>
    <col width="16" customWidth="1" min="8" max="8"/>
    <col width="26" customWidth="1" min="9" max="9"/>
    <col width="16" customWidth="1" min="10" max="10"/>
    <col width="14" customWidth="1" min="11" max="11"/>
    <col width="32" customWidth="1" min="12" max="12"/>
    <col width="20" customWidth="1" min="13" max="13"/>
    <col width="16" customWidth="1" min="14" max="14"/>
    <col width="10" customWidth="1" min="15" max="15"/>
    <col width="10" customWidth="1" min="16" max="16"/>
    <col width="14" customWidth="1" min="17" max="17"/>
    <col width="14" customWidth="1" min="18" max="18"/>
    <col width="14" customWidth="1" min="19" max="19"/>
    <col width="14" customWidth="1" min="20" max="20"/>
    <col width="12" customWidth="1" min="21" max="21"/>
    <col width="14" customWidth="1" min="22" max="22"/>
    <col width="14" customWidth="1" min="23" max="23"/>
    <col width="12" customWidth="1" min="24" max="24"/>
    <col width="13" customWidth="1" min="25" max="25"/>
    <col width="8" customWidth="1" min="26" max="26"/>
    <col width="12" customWidth="1" min="27" max="27"/>
    <col width="13" customWidth="1" min="28" max="28"/>
    <col width="18" customWidth="1" min="29" max="29"/>
    <col width="14" customWidth="1" min="30" max="30"/>
    <col width="12" customWidth="1" min="31" max="31"/>
    <col width="30" customWidth="1" min="32" max="32"/>
  </cols>
  <sheetData>
    <row r="1" ht="32" customHeight="1">
      <c r="A1" s="1" t="inlineStr">
        <is>
          <t>Nº OS</t>
        </is>
      </c>
      <c r="B1" s="1" t="inlineStr">
        <is>
          <t>Data Abertura</t>
        </is>
      </c>
      <c r="C1" s="1" t="inlineStr">
        <is>
          <t>Cliente (Razão/Nome)</t>
        </is>
      </c>
      <c r="D1" s="1" t="inlineStr">
        <is>
          <t>CPF/CNPJ</t>
        </is>
      </c>
      <c r="E1" s="1" t="inlineStr">
        <is>
          <t>Cidade</t>
        </is>
      </c>
      <c r="F1" s="1" t="inlineStr">
        <is>
          <t>UF</t>
        </is>
      </c>
      <c r="G1" s="1" t="inlineStr">
        <is>
          <t>Contato</t>
        </is>
      </c>
      <c r="H1" s="1" t="inlineStr">
        <is>
          <t>Telefone</t>
        </is>
      </c>
      <c r="I1" s="1" t="inlineStr">
        <is>
          <t>E-mail</t>
        </is>
      </c>
      <c r="J1" s="1" t="inlineStr">
        <is>
          <t>Tipo de Serviço</t>
        </is>
      </c>
      <c r="K1" s="1" t="inlineStr">
        <is>
          <t>Categoria</t>
        </is>
      </c>
      <c r="L1" s="1" t="inlineStr">
        <is>
          <t>Descrição do Problema</t>
        </is>
      </c>
      <c r="M1" s="1" t="inlineStr">
        <is>
          <t>Técnico Responsável</t>
        </is>
      </c>
      <c r="N1" s="1" t="inlineStr">
        <is>
          <t>Status</t>
        </is>
      </c>
      <c r="O1" s="1" t="inlineStr">
        <is>
          <t>Prioridade</t>
        </is>
      </c>
      <c r="P1" s="1" t="inlineStr">
        <is>
          <t>SLA (dias)</t>
        </is>
      </c>
      <c r="Q1" s="1" t="inlineStr">
        <is>
          <t>Data Prevista</t>
        </is>
      </c>
      <c r="R1" s="1" t="inlineStr">
        <is>
          <t>Data Conclusão</t>
        </is>
      </c>
      <c r="S1" s="1" t="inlineStr">
        <is>
          <t>Dias em Aberto</t>
        </is>
      </c>
      <c r="T1" s="1" t="inlineStr">
        <is>
          <t>Dentro do SLA?</t>
        </is>
      </c>
      <c r="U1" s="1" t="inlineStr">
        <is>
          <t>Peças (R$)</t>
        </is>
      </c>
      <c r="V1" s="1" t="inlineStr">
        <is>
          <t>Mão de Obra (R$)</t>
        </is>
      </c>
      <c r="W1" s="1" t="inlineStr">
        <is>
          <t>Deslocamento (R$)</t>
        </is>
      </c>
      <c r="X1" s="1" t="inlineStr">
        <is>
          <t>Desconto (R$)</t>
        </is>
      </c>
      <c r="Y1" s="1" t="inlineStr">
        <is>
          <t>Subtotal (R$)</t>
        </is>
      </c>
      <c r="Z1" s="1" t="inlineStr">
        <is>
          <t>ISS %</t>
        </is>
      </c>
      <c r="AA1" s="1" t="inlineStr">
        <is>
          <t>ISS (R$)</t>
        </is>
      </c>
      <c r="AB1" s="1" t="inlineStr">
        <is>
          <t>Total (R$)</t>
        </is>
      </c>
      <c r="AC1" s="1" t="inlineStr">
        <is>
          <t>Forma de Pagamento</t>
        </is>
      </c>
      <c r="AD1" s="1" t="inlineStr">
        <is>
          <t>NF-e Emitida?</t>
        </is>
      </c>
      <c r="AE1" s="1" t="inlineStr">
        <is>
          <t>Nº NF-e</t>
        </is>
      </c>
      <c r="AF1" s="1" t="inlineStr">
        <is>
          <t>Observações Internas</t>
        </is>
      </c>
    </row>
    <row r="2" ht="20" customHeight="1">
      <c r="A2" s="5" t="inlineStr">
        <is>
          <t>OS-2026-001</t>
        </is>
      </c>
      <c r="B2" s="6" t="n">
        <v>46082</v>
      </c>
      <c r="C2" s="5" t="inlineStr">
        <is>
          <t>Mariana Souza</t>
        </is>
      </c>
      <c r="D2" s="5" t="inlineStr">
        <is>
          <t>123.456.789-00</t>
        </is>
      </c>
      <c r="E2" s="5" t="inlineStr">
        <is>
          <t>São Paulo</t>
        </is>
      </c>
      <c r="F2" s="5" t="inlineStr">
        <is>
          <t>SP</t>
        </is>
      </c>
      <c r="G2" s="5" t="inlineStr">
        <is>
          <t>Mariana Souza</t>
        </is>
      </c>
      <c r="H2" s="5" t="inlineStr">
        <is>
          <t>(11) 98765-4321</t>
        </is>
      </c>
      <c r="I2" s="5" t="inlineStr">
        <is>
          <t>mariana@email.com</t>
        </is>
      </c>
      <c r="J2" s="5" t="inlineStr">
        <is>
          <t>Instalação</t>
        </is>
      </c>
      <c r="K2" s="5" t="inlineStr">
        <is>
          <t>TI</t>
        </is>
      </c>
      <c r="L2" s="7" t="inlineStr">
        <is>
          <t>Instalação de rede Wi-Fi corporativa</t>
        </is>
      </c>
      <c r="M2" s="5" t="inlineStr">
        <is>
          <t>Aline Pereira</t>
        </is>
      </c>
      <c r="N2" s="5" t="inlineStr">
        <is>
          <t>Concluída</t>
        </is>
      </c>
      <c r="O2" s="5" t="inlineStr">
        <is>
          <t>Alta</t>
        </is>
      </c>
      <c r="P2" s="5">
        <f>IFERROR(VLOOKUP(O2,Tabelas!$A$2:$B$4,2,FALSE),"")</f>
        <v/>
      </c>
      <c r="Q2" s="6">
        <f>IF(B2&lt;&gt;"",(IF(P2&lt;&gt;"",B2+P2,"")),"")</f>
        <v/>
      </c>
      <c r="R2" s="8" t="n">
        <v>46083</v>
      </c>
      <c r="S2" s="5">
        <f>IF(N2="Concluída",IF(R2&lt;&gt;"",R2-B2,""),IF(B2&lt;&gt;"",TODAY()-B2,""))</f>
        <v/>
      </c>
      <c r="T2" s="5">
        <f>IF(N2="Cancelada","",IF(S2="","",IF(S2&lt;=P2,"SIM","NÃO")))</f>
        <v/>
      </c>
      <c r="U2" s="9" t="n">
        <v>350</v>
      </c>
      <c r="V2" s="9" t="n">
        <v>500</v>
      </c>
      <c r="W2" s="9" t="n">
        <v>80</v>
      </c>
      <c r="X2" s="9" t="n">
        <v>0</v>
      </c>
      <c r="Y2" s="10">
        <f>IF(U2+V2+W2=0,"",U2+V2+W2-X2)</f>
        <v/>
      </c>
      <c r="Z2" s="11">
        <f>IFERROR(VLOOKUP(E2,Tabelas!$D$2:$E$6,2,FALSE),0)</f>
        <v/>
      </c>
      <c r="AA2" s="10">
        <f>IF(Y2="","",Y2*Z2)</f>
        <v/>
      </c>
      <c r="AB2" s="10">
        <f>IF(Y2="","",Y2+AA2)</f>
        <v/>
      </c>
      <c r="AC2" s="5" t="n"/>
      <c r="AD2" s="12" t="inlineStr">
        <is>
          <t>PIX</t>
        </is>
      </c>
      <c r="AE2" s="12" t="inlineStr">
        <is>
          <t>SIM</t>
        </is>
      </c>
      <c r="AF2" s="13" t="inlineStr">
        <is>
          <t>000123</t>
        </is>
      </c>
    </row>
    <row r="3" ht="20" customHeight="1">
      <c r="A3" s="14" t="inlineStr">
        <is>
          <t>OS-2026-002</t>
        </is>
      </c>
      <c r="B3" s="15" t="n">
        <v>46083</v>
      </c>
      <c r="C3" s="14" t="inlineStr">
        <is>
          <t>Oficina Ribeiro ME</t>
        </is>
      </c>
      <c r="D3" s="14" t="inlineStr">
        <is>
          <t>12.345.678/0001-99</t>
        </is>
      </c>
      <c r="E3" s="14" t="inlineStr">
        <is>
          <t>Campinas</t>
        </is>
      </c>
      <c r="F3" s="14" t="inlineStr">
        <is>
          <t>SP</t>
        </is>
      </c>
      <c r="G3" s="14" t="inlineStr">
        <is>
          <t>Roberto Ribeiro</t>
        </is>
      </c>
      <c r="H3" s="14" t="inlineStr">
        <is>
          <t>(19) 97654-3210</t>
        </is>
      </c>
      <c r="I3" s="14" t="inlineStr">
        <is>
          <t>oficina@ribeiro.com.br</t>
        </is>
      </c>
      <c r="J3" s="14" t="inlineStr">
        <is>
          <t>Manutenção</t>
        </is>
      </c>
      <c r="K3" s="14" t="inlineStr">
        <is>
          <t>Elétrica</t>
        </is>
      </c>
      <c r="L3" s="16" t="inlineStr">
        <is>
          <t>Troca de quadro de distribuição elétrica</t>
        </is>
      </c>
      <c r="M3" s="14" t="inlineStr">
        <is>
          <t>João Lima</t>
        </is>
      </c>
      <c r="N3" s="14" t="inlineStr">
        <is>
          <t>Concluída</t>
        </is>
      </c>
      <c r="O3" s="14" t="inlineStr">
        <is>
          <t>Média</t>
        </is>
      </c>
      <c r="P3" s="14">
        <f>IFERROR(VLOOKUP(O3,Tabelas!$A$2:$B$4,2,FALSE),"")</f>
        <v/>
      </c>
      <c r="Q3" s="15">
        <f>IF(B3&lt;&gt;"",(IF(P3&lt;&gt;"",B3+P3,"")),"")</f>
        <v/>
      </c>
      <c r="R3" s="8" t="n">
        <v>46086</v>
      </c>
      <c r="S3" s="14">
        <f>IF(N3="Concluída",IF(R3&lt;&gt;"",R3-B3,""),IF(B3&lt;&gt;"",TODAY()-B3,""))</f>
        <v/>
      </c>
      <c r="T3" s="14">
        <f>IF(N3="Cancelada","",IF(S3="","",IF(S3&lt;=P3,"SIM","NÃO")))</f>
        <v/>
      </c>
      <c r="U3" s="9" t="n">
        <v>620</v>
      </c>
      <c r="V3" s="9" t="n">
        <v>800</v>
      </c>
      <c r="W3" s="9" t="n">
        <v>120</v>
      </c>
      <c r="X3" s="9" t="n">
        <v>50</v>
      </c>
      <c r="Y3" s="17">
        <f>IF(U3+V3+W3=0,"",U3+V3+W3-X3)</f>
        <v/>
      </c>
      <c r="Z3" s="18">
        <f>IFERROR(VLOOKUP(E3,Tabelas!$D$2:$E$6,2,FALSE),0)</f>
        <v/>
      </c>
      <c r="AA3" s="17">
        <f>IF(Y3="","",Y3*Z3)</f>
        <v/>
      </c>
      <c r="AB3" s="17">
        <f>IF(Y3="","",Y3+AA3)</f>
        <v/>
      </c>
      <c r="AC3" s="14" t="n"/>
      <c r="AD3" s="12" t="inlineStr">
        <is>
          <t>Boleto</t>
        </is>
      </c>
      <c r="AE3" s="12" t="inlineStr">
        <is>
          <t>SIM</t>
        </is>
      </c>
      <c r="AF3" s="13" t="inlineStr">
        <is>
          <t>000124</t>
        </is>
      </c>
    </row>
    <row r="4" ht="20" customHeight="1">
      <c r="A4" s="5" t="inlineStr">
        <is>
          <t>OS-2026-003</t>
        </is>
      </c>
      <c r="B4" s="6" t="n">
        <v>46084</v>
      </c>
      <c r="C4" s="5" t="inlineStr">
        <is>
          <t>Condomínio Jardim Atlântico</t>
        </is>
      </c>
      <c r="D4" s="5" t="inlineStr">
        <is>
          <t>98.765.432/0001-11</t>
        </is>
      </c>
      <c r="E4" s="5" t="inlineStr">
        <is>
          <t>Rio de Janeiro</t>
        </is>
      </c>
      <c r="F4" s="5" t="inlineStr">
        <is>
          <t>RJ</t>
        </is>
      </c>
      <c r="G4" s="5" t="inlineStr">
        <is>
          <t>Síndico Pedro</t>
        </is>
      </c>
      <c r="H4" s="5" t="inlineStr">
        <is>
          <t>(21) 96543-2109</t>
        </is>
      </c>
      <c r="I4" s="5" t="inlineStr">
        <is>
          <t>sindico@jardim.com.br</t>
        </is>
      </c>
      <c r="J4" s="5" t="inlineStr">
        <is>
          <t>Manutenção</t>
        </is>
      </c>
      <c r="K4" s="5" t="inlineStr">
        <is>
          <t>Refrigeração</t>
        </is>
      </c>
      <c r="L4" s="7" t="inlineStr">
        <is>
          <t>Manutenção preventiva de ar-condicionado central</t>
        </is>
      </c>
      <c r="M4" s="5" t="inlineStr">
        <is>
          <t>Carlos Nascimento</t>
        </is>
      </c>
      <c r="N4" s="5" t="inlineStr">
        <is>
          <t>Em andamento</t>
        </is>
      </c>
      <c r="O4" s="5" t="inlineStr">
        <is>
          <t>Média</t>
        </is>
      </c>
      <c r="P4" s="5">
        <f>IFERROR(VLOOKUP(O4,Tabelas!$A$2:$B$4,2,FALSE),"")</f>
        <v/>
      </c>
      <c r="Q4" s="6">
        <f>IF(B4&lt;&gt;"",(IF(P4&lt;&gt;"",B4+P4,"")),"")</f>
        <v/>
      </c>
      <c r="R4" s="12" t="n"/>
      <c r="S4" s="5">
        <f>IF(N4="Concluída",IF(R4&lt;&gt;"",R4-B4,""),IF(B4&lt;&gt;"",TODAY()-B4,""))</f>
        <v/>
      </c>
      <c r="T4" s="5">
        <f>IF(N4="Cancelada","",IF(S4="","",IF(S4&lt;=P4,"SIM","NÃO")))</f>
        <v/>
      </c>
      <c r="U4" s="9" t="n">
        <v>180</v>
      </c>
      <c r="V4" s="9" t="n">
        <v>650</v>
      </c>
      <c r="W4" s="9" t="n">
        <v>90</v>
      </c>
      <c r="X4" s="9" t="n">
        <v>0</v>
      </c>
      <c r="Y4" s="10">
        <f>IF(U4+V4+W4=0,"",U4+V4+W4-X4)</f>
        <v/>
      </c>
      <c r="Z4" s="11">
        <f>IFERROR(VLOOKUP(E4,Tabelas!$D$2:$E$6,2,FALSE),0)</f>
        <v/>
      </c>
      <c r="AA4" s="10">
        <f>IF(Y4="","",Y4*Z4)</f>
        <v/>
      </c>
      <c r="AB4" s="10">
        <f>IF(Y4="","",Y4+AA4)</f>
        <v/>
      </c>
      <c r="AC4" s="5" t="n"/>
      <c r="AD4" s="12" t="inlineStr">
        <is>
          <t>Transferência</t>
        </is>
      </c>
      <c r="AE4" s="12" t="inlineStr">
        <is>
          <t>NÃO</t>
        </is>
      </c>
      <c r="AF4" s="13" t="inlineStr"/>
    </row>
    <row r="5" ht="20" customHeight="1">
      <c r="A5" s="14" t="inlineStr">
        <is>
          <t>OS-2026-004</t>
        </is>
      </c>
      <c r="B5" s="15" t="n">
        <v>46085</v>
      </c>
      <c r="C5" s="14" t="inlineStr">
        <is>
          <t>Bruno Carvalho</t>
        </is>
      </c>
      <c r="D5" s="14" t="inlineStr">
        <is>
          <t>987.654.321-00</t>
        </is>
      </c>
      <c r="E5" s="14" t="inlineStr">
        <is>
          <t>Niterói</t>
        </is>
      </c>
      <c r="F5" s="14" t="inlineStr">
        <is>
          <t>RJ</t>
        </is>
      </c>
      <c r="G5" s="14" t="inlineStr">
        <is>
          <t>Bruno Carvalho</t>
        </is>
      </c>
      <c r="H5" s="14" t="inlineStr">
        <is>
          <t>(21) 95432-1098</t>
        </is>
      </c>
      <c r="I5" s="14" t="inlineStr">
        <is>
          <t>bruno@email.com</t>
        </is>
      </c>
      <c r="J5" s="14" t="inlineStr">
        <is>
          <t>Suporte</t>
        </is>
      </c>
      <c r="K5" s="14" t="inlineStr">
        <is>
          <t>TI</t>
        </is>
      </c>
      <c r="L5" s="16" t="inlineStr">
        <is>
          <t>Recuperação de dados em HD danificado</t>
        </is>
      </c>
      <c r="M5" s="14" t="inlineStr">
        <is>
          <t>Fernanda Rocha</t>
        </is>
      </c>
      <c r="N5" s="14" t="inlineStr">
        <is>
          <t>Aguardando Peça</t>
        </is>
      </c>
      <c r="O5" s="14" t="inlineStr">
        <is>
          <t>Alta</t>
        </is>
      </c>
      <c r="P5" s="14">
        <f>IFERROR(VLOOKUP(O5,Tabelas!$A$2:$B$4,2,FALSE),"")</f>
        <v/>
      </c>
      <c r="Q5" s="15">
        <f>IF(B5&lt;&gt;"",(IF(P5&lt;&gt;"",B5+P5,"")),"")</f>
        <v/>
      </c>
      <c r="R5" s="12" t="n"/>
      <c r="S5" s="14">
        <f>IF(N5="Concluída",IF(R5&lt;&gt;"",R5-B5,""),IF(B5&lt;&gt;"",TODAY()-B5,""))</f>
        <v/>
      </c>
      <c r="T5" s="14">
        <f>IF(N5="Cancelada","",IF(S5="","",IF(S5&lt;=P5,"SIM","NÃO")))</f>
        <v/>
      </c>
      <c r="U5" s="9" t="n">
        <v>0</v>
      </c>
      <c r="V5" s="9" t="n">
        <v>400</v>
      </c>
      <c r="W5" s="9" t="n">
        <v>60</v>
      </c>
      <c r="X5" s="9" t="n">
        <v>0</v>
      </c>
      <c r="Y5" s="17">
        <f>IF(U5+V5+W5=0,"",U5+V5+W5-X5)</f>
        <v/>
      </c>
      <c r="Z5" s="18">
        <f>IFERROR(VLOOKUP(E5,Tabelas!$D$2:$E$6,2,FALSE),0)</f>
        <v/>
      </c>
      <c r="AA5" s="17">
        <f>IF(Y5="","",Y5*Z5)</f>
        <v/>
      </c>
      <c r="AB5" s="17">
        <f>IF(Y5="","",Y5+AA5)</f>
        <v/>
      </c>
      <c r="AC5" s="14" t="n"/>
      <c r="AD5" s="12" t="inlineStr">
        <is>
          <t>PIX</t>
        </is>
      </c>
      <c r="AE5" s="12" t="inlineStr">
        <is>
          <t>NÃO</t>
        </is>
      </c>
      <c r="AF5" s="13" t="inlineStr"/>
    </row>
    <row r="6" ht="20" customHeight="1">
      <c r="A6" s="5" t="inlineStr">
        <is>
          <t>OS-2026-005</t>
        </is>
      </c>
      <c r="B6" s="6" t="n">
        <v>46086</v>
      </c>
      <c r="C6" s="5" t="inlineStr">
        <is>
          <t>Clínica São Lucas LTDA</t>
        </is>
      </c>
      <c r="D6" s="5" t="inlineStr">
        <is>
          <t>11.222.333/0001-44</t>
        </is>
      </c>
      <c r="E6" s="5" t="inlineStr">
        <is>
          <t>Belo Horizonte</t>
        </is>
      </c>
      <c r="F6" s="5" t="inlineStr">
        <is>
          <t>MG</t>
        </is>
      </c>
      <c r="G6" s="5" t="inlineStr">
        <is>
          <t>Dr. Lucas Mendes</t>
        </is>
      </c>
      <c r="H6" s="5" t="inlineStr">
        <is>
          <t>(31) 94321-0987</t>
        </is>
      </c>
      <c r="I6" s="5" t="inlineStr">
        <is>
          <t>contato@saolucas.com.br</t>
        </is>
      </c>
      <c r="J6" s="5" t="inlineStr">
        <is>
          <t>Instalação</t>
        </is>
      </c>
      <c r="K6" s="5" t="inlineStr">
        <is>
          <t>Elétrica</t>
        </is>
      </c>
      <c r="L6" s="7" t="inlineStr">
        <is>
          <t>Instalação de sistema de energia solar</t>
        </is>
      </c>
      <c r="M6" s="5" t="inlineStr">
        <is>
          <t>João Lima</t>
        </is>
      </c>
      <c r="N6" s="5" t="inlineStr">
        <is>
          <t>Em andamento</t>
        </is>
      </c>
      <c r="O6" s="5" t="inlineStr">
        <is>
          <t>Baixa</t>
        </is>
      </c>
      <c r="P6" s="5">
        <f>IFERROR(VLOOKUP(O6,Tabelas!$A$2:$B$4,2,FALSE),"")</f>
        <v/>
      </c>
      <c r="Q6" s="6">
        <f>IF(B6&lt;&gt;"",(IF(P6&lt;&gt;"",B6+P6,"")),"")</f>
        <v/>
      </c>
      <c r="R6" s="12" t="n"/>
      <c r="S6" s="5">
        <f>IF(N6="Concluída",IF(R6&lt;&gt;"",R6-B6,""),IF(B6&lt;&gt;"",TODAY()-B6,""))</f>
        <v/>
      </c>
      <c r="T6" s="5">
        <f>IF(N6="Cancelada","",IF(S6="","",IF(S6&lt;=P6,"SIM","NÃO")))</f>
        <v/>
      </c>
      <c r="U6" s="9" t="n">
        <v>1850</v>
      </c>
      <c r="V6" s="9" t="n">
        <v>1200</v>
      </c>
      <c r="W6" s="9" t="n">
        <v>150</v>
      </c>
      <c r="X6" s="9" t="n">
        <v>100</v>
      </c>
      <c r="Y6" s="10">
        <f>IF(U6+V6+W6=0,"",U6+V6+W6-X6)</f>
        <v/>
      </c>
      <c r="Z6" s="11">
        <f>IFERROR(VLOOKUP(E6,Tabelas!$D$2:$E$6,2,FALSE),0)</f>
        <v/>
      </c>
      <c r="AA6" s="10">
        <f>IF(Y6="","",Y6*Z6)</f>
        <v/>
      </c>
      <c r="AB6" s="10">
        <f>IF(Y6="","",Y6+AA6)</f>
        <v/>
      </c>
      <c r="AC6" s="5" t="n"/>
      <c r="AD6" s="12" t="inlineStr">
        <is>
          <t>Boleto</t>
        </is>
      </c>
      <c r="AE6" s="12" t="inlineStr">
        <is>
          <t>NÃO</t>
        </is>
      </c>
      <c r="AF6" s="13" t="inlineStr"/>
    </row>
    <row r="7" ht="20" customHeight="1">
      <c r="A7" s="14" t="inlineStr">
        <is>
          <t>OS-2026-006</t>
        </is>
      </c>
      <c r="B7" s="15" t="n">
        <v>46087</v>
      </c>
      <c r="C7" s="14" t="inlineStr">
        <is>
          <t>Auto Peças Contagem</t>
        </is>
      </c>
      <c r="D7" s="14" t="inlineStr">
        <is>
          <t>55.444.333/0001-22</t>
        </is>
      </c>
      <c r="E7" s="14" t="inlineStr">
        <is>
          <t>Contagem</t>
        </is>
      </c>
      <c r="F7" s="14" t="inlineStr">
        <is>
          <t>MG</t>
        </is>
      </c>
      <c r="G7" s="14" t="inlineStr">
        <is>
          <t>Fábio Alves</t>
        </is>
      </c>
      <c r="H7" s="14" t="inlineStr">
        <is>
          <t>(31) 93210-9876</t>
        </is>
      </c>
      <c r="I7" s="14" t="inlineStr">
        <is>
          <t>fabio@autopecas.com.br</t>
        </is>
      </c>
      <c r="J7" s="14" t="inlineStr">
        <is>
          <t>Vistoria</t>
        </is>
      </c>
      <c r="K7" s="14" t="inlineStr">
        <is>
          <t>Elétrica</t>
        </is>
      </c>
      <c r="L7" s="16" t="inlineStr">
        <is>
          <t>Vistoria elétrica para laudo de segurança</t>
        </is>
      </c>
      <c r="M7" s="14" t="inlineStr">
        <is>
          <t>Carlos Nascimento</t>
        </is>
      </c>
      <c r="N7" s="14" t="inlineStr">
        <is>
          <t>Concluída</t>
        </is>
      </c>
      <c r="O7" s="14" t="inlineStr">
        <is>
          <t>Baixa</t>
        </is>
      </c>
      <c r="P7" s="14">
        <f>IFERROR(VLOOKUP(O7,Tabelas!$A$2:$B$4,2,FALSE),"")</f>
        <v/>
      </c>
      <c r="Q7" s="15">
        <f>IF(B7&lt;&gt;"",(IF(P7&lt;&gt;"",B7+P7,"")),"")</f>
        <v/>
      </c>
      <c r="R7" s="8" t="n">
        <v>46091</v>
      </c>
      <c r="S7" s="14">
        <f>IF(N7="Concluída",IF(R7&lt;&gt;"",R7-B7,""),IF(B7&lt;&gt;"",TODAY()-B7,""))</f>
        <v/>
      </c>
      <c r="T7" s="14">
        <f>IF(N7="Cancelada","",IF(S7="","",IF(S7&lt;=P7,"SIM","NÃO")))</f>
        <v/>
      </c>
      <c r="U7" s="9" t="n">
        <v>0</v>
      </c>
      <c r="V7" s="9" t="n">
        <v>350</v>
      </c>
      <c r="W7" s="9" t="n">
        <v>70</v>
      </c>
      <c r="X7" s="9" t="n">
        <v>0</v>
      </c>
      <c r="Y7" s="17">
        <f>IF(U7+V7+W7=0,"",U7+V7+W7-X7)</f>
        <v/>
      </c>
      <c r="Z7" s="18">
        <f>IFERROR(VLOOKUP(E7,Tabelas!$D$2:$E$6,2,FALSE),0)</f>
        <v/>
      </c>
      <c r="AA7" s="17">
        <f>IF(Y7="","",Y7*Z7)</f>
        <v/>
      </c>
      <c r="AB7" s="17">
        <f>IF(Y7="","",Y7+AA7)</f>
        <v/>
      </c>
      <c r="AC7" s="14" t="n"/>
      <c r="AD7" s="12" t="inlineStr">
        <is>
          <t>PIX</t>
        </is>
      </c>
      <c r="AE7" s="12" t="inlineStr">
        <is>
          <t>SIM</t>
        </is>
      </c>
      <c r="AF7" s="13" t="inlineStr">
        <is>
          <t>000125</t>
        </is>
      </c>
    </row>
    <row r="8" ht="20" customHeight="1">
      <c r="A8" s="5" t="inlineStr">
        <is>
          <t>OS-2026-007</t>
        </is>
      </c>
      <c r="B8" s="6" t="n">
        <v>46088</v>
      </c>
      <c r="C8" s="5" t="inlineStr">
        <is>
          <t>Mercado Bom Preço LTDA</t>
        </is>
      </c>
      <c r="D8" s="5" t="inlineStr">
        <is>
          <t>77.888.999/0001-55</t>
        </is>
      </c>
      <c r="E8" s="5" t="inlineStr">
        <is>
          <t>Curitiba</t>
        </is>
      </c>
      <c r="F8" s="5" t="inlineStr">
        <is>
          <t>PR</t>
        </is>
      </c>
      <c r="G8" s="5" t="inlineStr">
        <is>
          <t>Gerente Sandra</t>
        </is>
      </c>
      <c r="H8" s="5" t="inlineStr">
        <is>
          <t>(41) 92109-8765</t>
        </is>
      </c>
      <c r="I8" s="5" t="inlineStr">
        <is>
          <t>sandra@bomprecio.com.br</t>
        </is>
      </c>
      <c r="J8" s="5" t="inlineStr">
        <is>
          <t>Manutenção</t>
        </is>
      </c>
      <c r="K8" s="5" t="inlineStr">
        <is>
          <t>Refrigeração</t>
        </is>
      </c>
      <c r="L8" s="7" t="inlineStr">
        <is>
          <t>Reparo em câmara fria do setor de hortifruti</t>
        </is>
      </c>
      <c r="M8" s="5" t="inlineStr">
        <is>
          <t>Fernanda Rocha</t>
        </is>
      </c>
      <c r="N8" s="5" t="inlineStr">
        <is>
          <t>Concluída</t>
        </is>
      </c>
      <c r="O8" s="5" t="inlineStr">
        <is>
          <t>Alta</t>
        </is>
      </c>
      <c r="P8" s="5">
        <f>IFERROR(VLOOKUP(O8,Tabelas!$A$2:$B$4,2,FALSE),"")</f>
        <v/>
      </c>
      <c r="Q8" s="6">
        <f>IF(B8&lt;&gt;"",(IF(P8&lt;&gt;"",B8+P8,"")),"")</f>
        <v/>
      </c>
      <c r="R8" s="8" t="n">
        <v>46089</v>
      </c>
      <c r="S8" s="5">
        <f>IF(N8="Concluída",IF(R8&lt;&gt;"",R8-B8,""),IF(B8&lt;&gt;"",TODAY()-B8,""))</f>
        <v/>
      </c>
      <c r="T8" s="5">
        <f>IF(N8="Cancelada","",IF(S8="","",IF(S8&lt;=P8,"SIM","NÃO")))</f>
        <v/>
      </c>
      <c r="U8" s="9" t="n">
        <v>420</v>
      </c>
      <c r="V8" s="9" t="n">
        <v>600</v>
      </c>
      <c r="W8" s="9" t="n">
        <v>100</v>
      </c>
      <c r="X8" s="9" t="n">
        <v>20</v>
      </c>
      <c r="Y8" s="10">
        <f>IF(U8+V8+W8=0,"",U8+V8+W8-X8)</f>
        <v/>
      </c>
      <c r="Z8" s="11">
        <f>IFERROR(VLOOKUP(E8,Tabelas!$D$2:$E$6,2,FALSE),0)</f>
        <v/>
      </c>
      <c r="AA8" s="10">
        <f>IF(Y8="","",Y8*Z8)</f>
        <v/>
      </c>
      <c r="AB8" s="10">
        <f>IF(Y8="","",Y8+AA8)</f>
        <v/>
      </c>
      <c r="AC8" s="5" t="n"/>
      <c r="AD8" s="12" t="inlineStr">
        <is>
          <t>Cartão</t>
        </is>
      </c>
      <c r="AE8" s="12" t="inlineStr">
        <is>
          <t>SIM</t>
        </is>
      </c>
      <c r="AF8" s="13" t="inlineStr">
        <is>
          <t>000126</t>
        </is>
      </c>
    </row>
    <row r="9" ht="20" customHeight="1">
      <c r="A9" s="14" t="inlineStr">
        <is>
          <t>OS-2026-008</t>
        </is>
      </c>
      <c r="B9" s="15" t="n">
        <v>46089</v>
      </c>
      <c r="C9" s="14" t="inlineStr">
        <is>
          <t>Escola Estadual Paraná</t>
        </is>
      </c>
      <c r="D9" s="14" t="inlineStr">
        <is>
          <t>33.444.555/0001-66</t>
        </is>
      </c>
      <c r="E9" s="14" t="inlineStr">
        <is>
          <t>Londrina</t>
        </is>
      </c>
      <c r="F9" s="14" t="inlineStr">
        <is>
          <t>PR</t>
        </is>
      </c>
      <c r="G9" s="14" t="inlineStr">
        <is>
          <t>Diretora Ana Lima</t>
        </is>
      </c>
      <c r="H9" s="14" t="inlineStr">
        <is>
          <t>(43) 91098-7654</t>
        </is>
      </c>
      <c r="I9" s="14" t="inlineStr">
        <is>
          <t>diretora@escola.pr.gov.br</t>
        </is>
      </c>
      <c r="J9" s="14" t="inlineStr">
        <is>
          <t>Suporte</t>
        </is>
      </c>
      <c r="K9" s="14" t="inlineStr">
        <is>
          <t>TI</t>
        </is>
      </c>
      <c r="L9" s="16" t="inlineStr">
        <is>
          <t>Configuração de laboratório de informática</t>
        </is>
      </c>
      <c r="M9" s="14" t="inlineStr">
        <is>
          <t>Aline Pereira</t>
        </is>
      </c>
      <c r="N9" s="14" t="inlineStr">
        <is>
          <t>Em andamento</t>
        </is>
      </c>
      <c r="O9" s="14" t="inlineStr">
        <is>
          <t>Média</t>
        </is>
      </c>
      <c r="P9" s="14">
        <f>IFERROR(VLOOKUP(O9,Tabelas!$A$2:$B$4,2,FALSE),"")</f>
        <v/>
      </c>
      <c r="Q9" s="15">
        <f>IF(B9&lt;&gt;"",(IF(P9&lt;&gt;"",B9+P9,"")),"")</f>
        <v/>
      </c>
      <c r="R9" s="12" t="n"/>
      <c r="S9" s="14">
        <f>IF(N9="Concluída",IF(R9&lt;&gt;"",R9-B9,""),IF(B9&lt;&gt;"",TODAY()-B9,""))</f>
        <v/>
      </c>
      <c r="T9" s="14">
        <f>IF(N9="Cancelada","",IF(S9="","",IF(S9&lt;=P9,"SIM","NÃO")))</f>
        <v/>
      </c>
      <c r="U9" s="9" t="n">
        <v>800</v>
      </c>
      <c r="V9" s="9" t="n">
        <v>750</v>
      </c>
      <c r="W9" s="9" t="n">
        <v>130</v>
      </c>
      <c r="X9" s="9" t="n">
        <v>80</v>
      </c>
      <c r="Y9" s="17">
        <f>IF(U9+V9+W9=0,"",U9+V9+W9-X9)</f>
        <v/>
      </c>
      <c r="Z9" s="18">
        <f>IFERROR(VLOOKUP(E9,Tabelas!$D$2:$E$6,2,FALSE),0)</f>
        <v/>
      </c>
      <c r="AA9" s="17">
        <f>IF(Y9="","",Y9*Z9)</f>
        <v/>
      </c>
      <c r="AB9" s="17">
        <f>IF(Y9="","",Y9+AA9)</f>
        <v/>
      </c>
      <c r="AC9" s="14" t="n"/>
      <c r="AD9" s="12" t="inlineStr">
        <is>
          <t>Transferência</t>
        </is>
      </c>
      <c r="AE9" s="12" t="inlineStr">
        <is>
          <t>NÃO</t>
        </is>
      </c>
      <c r="AF9" s="13" t="inlineStr"/>
    </row>
    <row r="10" ht="20" customHeight="1">
      <c r="A10" s="5" t="inlineStr">
        <is>
          <t>OS-2026-009</t>
        </is>
      </c>
      <c r="B10" s="6" t="n">
        <v>46091</v>
      </c>
      <c r="C10" s="5" t="inlineStr">
        <is>
          <t>Hotel Bahia Grand</t>
        </is>
      </c>
      <c r="D10" s="5" t="inlineStr">
        <is>
          <t>66.777.888/0001-33</t>
        </is>
      </c>
      <c r="E10" s="5" t="inlineStr">
        <is>
          <t>Salvador</t>
        </is>
      </c>
      <c r="F10" s="5" t="inlineStr">
        <is>
          <t>BA</t>
        </is>
      </c>
      <c r="G10" s="5" t="inlineStr">
        <is>
          <t>Gerente Marcos</t>
        </is>
      </c>
      <c r="H10" s="5" t="inlineStr">
        <is>
          <t>(71) 90987-6543</t>
        </is>
      </c>
      <c r="I10" s="5" t="inlineStr">
        <is>
          <t>marcos@bahiagrand.com.br</t>
        </is>
      </c>
      <c r="J10" s="5" t="inlineStr">
        <is>
          <t>Instalação</t>
        </is>
      </c>
      <c r="K10" s="5" t="inlineStr">
        <is>
          <t>TI</t>
        </is>
      </c>
      <c r="L10" s="7" t="inlineStr">
        <is>
          <t>Instalação de sistema de câmeras CFTV</t>
        </is>
      </c>
      <c r="M10" s="5" t="inlineStr">
        <is>
          <t>João Lima</t>
        </is>
      </c>
      <c r="N10" s="5" t="inlineStr">
        <is>
          <t>Aberta</t>
        </is>
      </c>
      <c r="O10" s="5" t="inlineStr">
        <is>
          <t>Alta</t>
        </is>
      </c>
      <c r="P10" s="5">
        <f>IFERROR(VLOOKUP(O10,Tabelas!$A$2:$B$4,2,FALSE),"")</f>
        <v/>
      </c>
      <c r="Q10" s="6">
        <f>IF(B10&lt;&gt;"",(IF(P10&lt;&gt;"",B10+P10,"")),"")</f>
        <v/>
      </c>
      <c r="R10" s="12" t="n"/>
      <c r="S10" s="5">
        <f>IF(N10="Concluída",IF(R10&lt;&gt;"",R10-B10,""),IF(B10&lt;&gt;"",TODAY()-B10,""))</f>
        <v/>
      </c>
      <c r="T10" s="5">
        <f>IF(N10="Cancelada","",IF(S10="","",IF(S10&lt;=P10,"SIM","NÃO")))</f>
        <v/>
      </c>
      <c r="U10" s="9" t="n">
        <v>1200</v>
      </c>
      <c r="V10" s="9" t="n">
        <v>900</v>
      </c>
      <c r="W10" s="9" t="n">
        <v>200</v>
      </c>
      <c r="X10" s="9" t="n">
        <v>0</v>
      </c>
      <c r="Y10" s="10">
        <f>IF(U10+V10+W10=0,"",U10+V10+W10-X10)</f>
        <v/>
      </c>
      <c r="Z10" s="11">
        <f>IFERROR(VLOOKUP(E10,Tabelas!$D$2:$E$6,2,FALSE),0)</f>
        <v/>
      </c>
      <c r="AA10" s="10">
        <f>IF(Y10="","",Y10*Z10)</f>
        <v/>
      </c>
      <c r="AB10" s="10">
        <f>IF(Y10="","",Y10+AA10)</f>
        <v/>
      </c>
      <c r="AC10" s="5" t="n"/>
      <c r="AD10" s="12" t="inlineStr">
        <is>
          <t>Boleto</t>
        </is>
      </c>
      <c r="AE10" s="12" t="inlineStr">
        <is>
          <t>NÃO</t>
        </is>
      </c>
      <c r="AF10" s="13" t="inlineStr"/>
    </row>
    <row r="11" ht="20" customHeight="1">
      <c r="A11" s="14" t="inlineStr">
        <is>
          <t>OS-2026-010</t>
        </is>
      </c>
      <c r="B11" s="15" t="n">
        <v>46093</v>
      </c>
      <c r="C11" s="14" t="inlineStr">
        <is>
          <t>Construtora Recife SA</t>
        </is>
      </c>
      <c r="D11" s="14" t="inlineStr">
        <is>
          <t>22.333.444/0001-77</t>
        </is>
      </c>
      <c r="E11" s="14" t="inlineStr">
        <is>
          <t>Recife</t>
        </is>
      </c>
      <c r="F11" s="14" t="inlineStr">
        <is>
          <t>PE</t>
        </is>
      </c>
      <c r="G11" s="14" t="inlineStr">
        <is>
          <t>Engenheiro Tiago</t>
        </is>
      </c>
      <c r="H11" s="14" t="inlineStr">
        <is>
          <t>(81) 89876-5432</t>
        </is>
      </c>
      <c r="I11" s="14" t="inlineStr">
        <is>
          <t>tiago@construtora.com.br</t>
        </is>
      </c>
      <c r="J11" s="14" t="inlineStr">
        <is>
          <t>Vistoria</t>
        </is>
      </c>
      <c r="K11" s="14" t="inlineStr">
        <is>
          <t>Hidráulica</t>
        </is>
      </c>
      <c r="L11" s="16" t="inlineStr">
        <is>
          <t>Vistoria hidráulica em obra residencial</t>
        </is>
      </c>
      <c r="M11" s="14" t="inlineStr">
        <is>
          <t>Carlos Nascimento</t>
        </is>
      </c>
      <c r="N11" s="14" t="inlineStr">
        <is>
          <t>Aberta</t>
        </is>
      </c>
      <c r="O11" s="14" t="inlineStr">
        <is>
          <t>Média</t>
        </is>
      </c>
      <c r="P11" s="14">
        <f>IFERROR(VLOOKUP(O11,Tabelas!$A$2:$B$4,2,FALSE),"")</f>
        <v/>
      </c>
      <c r="Q11" s="15">
        <f>IF(B11&lt;&gt;"",(IF(P11&lt;&gt;"",B11+P11,"")),"")</f>
        <v/>
      </c>
      <c r="R11" s="12" t="n"/>
      <c r="S11" s="14">
        <f>IF(N11="Concluída",IF(R11&lt;&gt;"",R11-B11,""),IF(B11&lt;&gt;"",TODAY()-B11,""))</f>
        <v/>
      </c>
      <c r="T11" s="14">
        <f>IF(N11="Cancelada","",IF(S11="","",IF(S11&lt;=P11,"SIM","NÃO")))</f>
        <v/>
      </c>
      <c r="U11" s="9" t="n">
        <v>0</v>
      </c>
      <c r="V11" s="9" t="n">
        <v>450</v>
      </c>
      <c r="W11" s="9" t="n">
        <v>90</v>
      </c>
      <c r="X11" s="9" t="n">
        <v>0</v>
      </c>
      <c r="Y11" s="17">
        <f>IF(U11+V11+W11=0,"",U11+V11+W11-X11)</f>
        <v/>
      </c>
      <c r="Z11" s="18">
        <f>IFERROR(VLOOKUP(E11,Tabelas!$D$2:$E$6,2,FALSE),0)</f>
        <v/>
      </c>
      <c r="AA11" s="17">
        <f>IF(Y11="","",Y11*Z11)</f>
        <v/>
      </c>
      <c r="AB11" s="17">
        <f>IF(Y11="","",Y11+AA11)</f>
        <v/>
      </c>
      <c r="AC11" s="14" t="n"/>
      <c r="AD11" s="12" t="inlineStr">
        <is>
          <t>PIX</t>
        </is>
      </c>
      <c r="AE11" s="12" t="inlineStr">
        <is>
          <t>NÃO</t>
        </is>
      </c>
      <c r="AF11" s="13" t="inlineStr"/>
    </row>
  </sheetData>
  <autoFilter ref="A1:AF1"/>
  <conditionalFormatting sqref="T2:T11">
    <cfRule type="expression" priority="1" dxfId="0" stopIfTrue="1">
      <formula>$T2="NÃO"</formula>
    </cfRule>
  </conditionalFormatting>
  <conditionalFormatting sqref="N2:N11">
    <cfRule type="expression" priority="2" dxfId="1" stopIfTrue="1">
      <formula>$N2="Concluída"</formula>
    </cfRule>
  </conditionalFormatting>
  <dataValidations count="6">
    <dataValidation sqref="N2:N11" showErrorMessage="1" showInputMessage="1" allowBlank="1" type="list">
      <formula1>"Aberta,Em andamento,Aguardando Peça,Concluída,Cancelada"</formula1>
    </dataValidation>
    <dataValidation sqref="O2:O11" showErrorMessage="1" showInputMessage="1" allowBlank="1" type="list">
      <formula1>"Baixa,Média,Alta"</formula1>
    </dataValidation>
    <dataValidation sqref="J2:J11" showErrorMessage="1" showInputMessage="1" allowBlank="1" type="list">
      <formula1>"Instalação,Manutenção,Suporte,Vistoria"</formula1>
    </dataValidation>
    <dataValidation sqref="M2:M11" showErrorMessage="1" showInputMessage="1" allowBlank="1" type="list">
      <formula1>"João Lima,Aline Pereira,Carlos Nascimento,Fernanda Rocha"</formula1>
    </dataValidation>
    <dataValidation sqref="AC2:AC11" showErrorMessage="1" showInputMessage="1" allowBlank="1" type="list">
      <formula1>"PIX,Cartão,Boleto,Transferência"</formula1>
    </dataValidation>
    <dataValidation sqref="AD2:AD11" showErrorMessage="1" showInputMessage="1" allowBlank="1" type="list">
      <formula1>"SIM,NÃO"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1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18" customWidth="1" min="11" max="11"/>
    <col width="18" customWidth="1" min="12" max="12"/>
  </cols>
  <sheetData>
    <row r="1" ht="36" customHeight="1">
      <c r="A1" s="19" t="inlineStr">
        <is>
          <t>DASHBOARD — ORDENS DE SERVIÇO</t>
        </is>
      </c>
    </row>
    <row r="3" ht="24" customHeight="1">
      <c r="A3" s="20" t="inlineStr">
        <is>
          <t>Total de OS</t>
        </is>
      </c>
      <c r="B3" s="21" t="n"/>
      <c r="C3" s="20" t="inlineStr">
        <is>
          <t>OS Concluídas</t>
        </is>
      </c>
      <c r="D3" s="21" t="n"/>
      <c r="E3" s="20" t="inlineStr">
        <is>
          <t>OS Abertas</t>
        </is>
      </c>
      <c r="F3" s="21" t="n"/>
      <c r="G3" s="20" t="inlineStr">
        <is>
          <t>Em Andamento</t>
        </is>
      </c>
      <c r="H3" s="21" t="n"/>
      <c r="I3" s="20" t="inlineStr">
        <is>
          <t>Fora do SLA</t>
        </is>
      </c>
      <c r="J3" s="21" t="n"/>
      <c r="K3" s="20" t="inlineStr">
        <is>
          <t>Receita Total (R$)</t>
        </is>
      </c>
      <c r="L3" s="21" t="n"/>
    </row>
    <row r="4" ht="36" customHeight="1">
      <c r="A4" s="22">
        <f>COUNTA('OS (Base)'!A2:A11)</f>
        <v/>
      </c>
      <c r="B4" s="21" t="n"/>
      <c r="C4" s="22">
        <f>COUNTIF('OS (Base)'!N2:N11,"Concluída")</f>
        <v/>
      </c>
      <c r="D4" s="21" t="n"/>
      <c r="E4" s="22">
        <f>COUNTIF('OS (Base)'!N2:N11,"Aberta")</f>
        <v/>
      </c>
      <c r="F4" s="21" t="n"/>
      <c r="G4" s="22">
        <f>COUNTIF('OS (Base)'!N2:N11,"Em andamento")</f>
        <v/>
      </c>
      <c r="H4" s="21" t="n"/>
      <c r="I4" s="22">
        <f>COUNTIF('OS (Base)'!T2:T11,"NÃO")</f>
        <v/>
      </c>
      <c r="J4" s="21" t="n"/>
      <c r="K4" s="23">
        <f>SUM('OS (Base)'!AB2:AB11)</f>
        <v/>
      </c>
      <c r="L4" s="21" t="n"/>
    </row>
    <row r="6">
      <c r="A6" s="20" t="inlineStr">
        <is>
          <t>Status</t>
        </is>
      </c>
      <c r="B6" s="20" t="inlineStr">
        <is>
          <t>Qtd</t>
        </is>
      </c>
      <c r="D6" s="20" t="inlineStr">
        <is>
          <t>Técnico</t>
        </is>
      </c>
      <c r="E6" s="20" t="inlineStr">
        <is>
          <t>OS</t>
        </is>
      </c>
      <c r="F6" s="20" t="inlineStr">
        <is>
          <t>Total R$</t>
        </is>
      </c>
    </row>
    <row r="7">
      <c r="A7" s="24" t="inlineStr">
        <is>
          <t>Aberta</t>
        </is>
      </c>
      <c r="B7" s="25">
        <f>COUNTIF('OS (Base)'!N2:N11,"Aberta")</f>
        <v/>
      </c>
      <c r="D7" s="24" t="inlineStr">
        <is>
          <t>João Lima</t>
        </is>
      </c>
      <c r="E7" s="25">
        <f>COUNTIF('OS (Base)'!M2:M11,"João Lima")</f>
        <v/>
      </c>
      <c r="F7" s="17">
        <f>SUMIF('OS (Base)'!M2:M11,"João Lima",'OS (Base)'!AB2:AB11)</f>
        <v/>
      </c>
    </row>
    <row r="8">
      <c r="A8" s="26" t="inlineStr">
        <is>
          <t>Em andamento</t>
        </is>
      </c>
      <c r="B8" s="27">
        <f>COUNTIF('OS (Base)'!N2:N11,"Em andamento")</f>
        <v/>
      </c>
      <c r="D8" s="26" t="inlineStr">
        <is>
          <t>Aline Pereira</t>
        </is>
      </c>
      <c r="E8" s="27">
        <f>COUNTIF('OS (Base)'!M2:M11,"Aline Pereira")</f>
        <v/>
      </c>
      <c r="F8" s="10">
        <f>SUMIF('OS (Base)'!M2:M11,"Aline Pereira",'OS (Base)'!AB2:AB11)</f>
        <v/>
      </c>
    </row>
    <row r="9">
      <c r="A9" s="24" t="inlineStr">
        <is>
          <t>Aguardando Peça</t>
        </is>
      </c>
      <c r="B9" s="25">
        <f>COUNTIF('OS (Base)'!N2:N11,"Aguardando Peça")</f>
        <v/>
      </c>
      <c r="D9" s="24" t="inlineStr">
        <is>
          <t>Carlos Nascimento</t>
        </is>
      </c>
      <c r="E9" s="25">
        <f>COUNTIF('OS (Base)'!M2:M11,"Carlos Nascimento")</f>
        <v/>
      </c>
      <c r="F9" s="17">
        <f>SUMIF('OS (Base)'!M2:M11,"Carlos Nascimento",'OS (Base)'!AB2:AB11)</f>
        <v/>
      </c>
    </row>
    <row r="10">
      <c r="A10" s="26" t="inlineStr">
        <is>
          <t>Concluída</t>
        </is>
      </c>
      <c r="B10" s="27">
        <f>COUNTIF('OS (Base)'!N2:N11,"Concluída")</f>
        <v/>
      </c>
      <c r="D10" s="26" t="inlineStr">
        <is>
          <t>Fernanda Rocha</t>
        </is>
      </c>
      <c r="E10" s="27">
        <f>COUNTIF('OS (Base)'!M2:M11,"Fernanda Rocha")</f>
        <v/>
      </c>
      <c r="F10" s="10">
        <f>SUMIF('OS (Base)'!M2:M11,"Fernanda Rocha",'OS (Base)'!AB2:AB11)</f>
        <v/>
      </c>
    </row>
    <row r="11">
      <c r="A11" s="24" t="inlineStr">
        <is>
          <t>Cancelada</t>
        </is>
      </c>
      <c r="B11" s="25">
        <f>COUNTIF('OS (Base)'!N2:N11,"Cancelada")</f>
        <v/>
      </c>
    </row>
  </sheetData>
  <mergeCells count="13">
    <mergeCell ref="A1:L1"/>
    <mergeCell ref="A3:B3"/>
    <mergeCell ref="A4:B4"/>
    <mergeCell ref="C3:D3"/>
    <mergeCell ref="C4:D4"/>
    <mergeCell ref="E3:F3"/>
    <mergeCell ref="E4:F4"/>
    <mergeCell ref="G3:H3"/>
    <mergeCell ref="G4:H4"/>
    <mergeCell ref="I3:J3"/>
    <mergeCell ref="I4:J4"/>
    <mergeCell ref="K3:L3"/>
    <mergeCell ref="K4:L4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8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30" customWidth="1" min="2" max="2"/>
    <col width="65" customWidth="1" min="3" max="3"/>
  </cols>
  <sheetData>
    <row r="1" ht="32" customHeight="1">
      <c r="A1" s="28" t="inlineStr">
        <is>
          <t>INSTRUÇÕES DE USO — MODELO DE ORDEM DE SERVIÇO</t>
        </is>
      </c>
    </row>
    <row r="2" ht="24" customHeight="1">
      <c r="A2" s="29" t="inlineStr">
        <is>
          <t>Aba</t>
        </is>
      </c>
      <c r="B2" s="29" t="inlineStr">
        <is>
          <t>Conteúdo</t>
        </is>
      </c>
      <c r="C2" s="29" t="inlineStr">
        <is>
          <t>Observações</t>
        </is>
      </c>
    </row>
    <row r="3" ht="30" customHeight="1">
      <c r="A3" s="16" t="inlineStr">
        <is>
          <t>OS (Base)</t>
        </is>
      </c>
      <c r="B3" s="16" t="inlineStr">
        <is>
          <t>Tabela principal com todas as ordens de serviço.</t>
        </is>
      </c>
      <c r="C3" s="16" t="inlineStr">
        <is>
          <t>Colunas amarelas = células de entrada. Preencha: Data Conclusão, Peças, Mão de Obra, Deslocamento, Desconto, NF-e Emitida, Nº NF-e, Observações.</t>
        </is>
      </c>
    </row>
    <row r="4" ht="30" customHeight="1">
      <c r="A4" s="7" t="inlineStr">
        <is>
          <t>OS (Base)</t>
        </is>
      </c>
      <c r="B4" s="7" t="inlineStr">
        <is>
          <t>Nº OS</t>
        </is>
      </c>
      <c r="C4" s="7" t="inlineStr">
        <is>
          <t>Identificador único. Ex: OS-2026-001</t>
        </is>
      </c>
    </row>
    <row r="5" ht="30" customHeight="1">
      <c r="A5" s="16" t="inlineStr">
        <is>
          <t>OS (Base)</t>
        </is>
      </c>
      <c r="B5" s="16" t="inlineStr">
        <is>
          <t>SLA (dias)</t>
        </is>
      </c>
      <c r="C5" s="16" t="inlineStr">
        <is>
          <t>Calculado automaticamente via PROCV com base na Prioridade (Tabelas!A2:B4).</t>
        </is>
      </c>
    </row>
    <row r="6" ht="30" customHeight="1">
      <c r="A6" s="7" t="inlineStr">
        <is>
          <t>OS (Base)</t>
        </is>
      </c>
      <c r="B6" s="7" t="inlineStr">
        <is>
          <t>Data Prevista</t>
        </is>
      </c>
      <c r="C6" s="7" t="inlineStr">
        <is>
          <t>Calculada: Data Abertura + SLA (dias).</t>
        </is>
      </c>
    </row>
    <row r="7" ht="30" customHeight="1">
      <c r="A7" s="16" t="inlineStr">
        <is>
          <t>OS (Base)</t>
        </is>
      </c>
      <c r="B7" s="16" t="inlineStr">
        <is>
          <t>Dias em Aberto</t>
        </is>
      </c>
      <c r="C7" s="16" t="inlineStr">
        <is>
          <t>Se Concluída: Data Conclusão – Data Abertura. Caso contrário: HOJE() – Data Abertura.</t>
        </is>
      </c>
    </row>
    <row r="8" ht="30" customHeight="1">
      <c r="A8" s="7" t="inlineStr">
        <is>
          <t>OS (Base)</t>
        </is>
      </c>
      <c r="B8" s="7" t="inlineStr">
        <is>
          <t>Dentro do SLA?</t>
        </is>
      </c>
      <c r="C8" s="7" t="inlineStr">
        <is>
          <t>SIM se Dias em Aberto ≤ SLA. NÃO aparece em vermelho (alerta).</t>
        </is>
      </c>
    </row>
    <row r="9" ht="30" customHeight="1">
      <c r="A9" s="16" t="inlineStr">
        <is>
          <t>OS (Base)</t>
        </is>
      </c>
      <c r="B9" s="16" t="inlineStr">
        <is>
          <t>Subtotal (R$)</t>
        </is>
      </c>
      <c r="C9" s="16" t="inlineStr">
        <is>
          <t>Peças + Mão de Obra + Deslocamento – Desconto.</t>
        </is>
      </c>
    </row>
    <row r="10" ht="30" customHeight="1">
      <c r="A10" s="7" t="inlineStr">
        <is>
          <t>OS (Base)</t>
        </is>
      </c>
      <c r="B10" s="7" t="inlineStr">
        <is>
          <t>ISS %</t>
        </is>
      </c>
      <c r="C10" s="7" t="inlineStr">
        <is>
          <t>Calculado via PROCV pela cidade (Tabelas!D2:E6).</t>
        </is>
      </c>
    </row>
    <row r="11" ht="30" customHeight="1">
      <c r="A11" s="16" t="inlineStr">
        <is>
          <t>OS (Base)</t>
        </is>
      </c>
      <c r="B11" s="16" t="inlineStr">
        <is>
          <t>Total (R$)</t>
        </is>
      </c>
      <c r="C11" s="16" t="inlineStr">
        <is>
          <t>Subtotal + ISS (R$).</t>
        </is>
      </c>
    </row>
    <row r="12" ht="30" customHeight="1">
      <c r="A12" s="7" t="inlineStr">
        <is>
          <t>Tabelas</t>
        </is>
      </c>
      <c r="B12" s="7" t="inlineStr">
        <is>
          <t>SLA por Prioridade (A1:B4)</t>
        </is>
      </c>
      <c r="C12" s="7" t="inlineStr">
        <is>
          <t>Alta=1 dia, Média=3 dias, Baixa=5 dias.</t>
        </is>
      </c>
    </row>
    <row r="13" ht="30" customHeight="1">
      <c r="A13" s="16" t="inlineStr">
        <is>
          <t>Tabelas</t>
        </is>
      </c>
      <c r="B13" s="16" t="inlineStr">
        <is>
          <t>ISS por Cidade (D1:E6)</t>
        </is>
      </c>
      <c r="C13" s="16" t="inlineStr">
        <is>
          <t>São Paulo e Rio=5%, BH=3%, Curitiba=2%, Salvador=5%. Edite conforme legislação local.</t>
        </is>
      </c>
    </row>
    <row r="14" ht="30" customHeight="1">
      <c r="A14" s="7" t="inlineStr">
        <is>
          <t>Tabelas</t>
        </is>
      </c>
      <c r="B14" s="7" t="inlineStr">
        <is>
          <t>Listas (G-K)</t>
        </is>
      </c>
      <c r="C14" s="7" t="inlineStr">
        <is>
          <t>Utilizadas para validação de dados (listas suspensas) nas colunas Status, Tipo, Técnico, Pagamento, Categoria.</t>
        </is>
      </c>
    </row>
    <row r="15" ht="30" customHeight="1">
      <c r="A15" s="16" t="inlineStr">
        <is>
          <t>Dashboard</t>
        </is>
      </c>
      <c r="B15" s="16" t="inlineStr">
        <is>
          <t>KPIs (linha 3-4)</t>
        </is>
      </c>
      <c r="C15" s="16" t="inlineStr">
        <is>
          <t>Total de OS, concluídas, abertas, em andamento, fora do SLA e receita total.</t>
        </is>
      </c>
    </row>
    <row r="16" ht="30" customHeight="1">
      <c r="A16" s="7" t="inlineStr">
        <is>
          <t>Dashboard</t>
        </is>
      </c>
      <c r="B16" s="7" t="inlineStr">
        <is>
          <t>Tabela Status</t>
        </is>
      </c>
      <c r="C16" s="7" t="inlineStr">
        <is>
          <t>Contagem de OS por status (COUNTIF automático).</t>
        </is>
      </c>
    </row>
    <row r="17" ht="30" customHeight="1">
      <c r="A17" s="16" t="inlineStr">
        <is>
          <t>Dashboard</t>
        </is>
      </c>
      <c r="B17" s="16" t="inlineStr">
        <is>
          <t>Tabela Técnicos</t>
        </is>
      </c>
      <c r="C17" s="16" t="inlineStr">
        <is>
          <t>Quantidade de OS e receita por técnico (COUNTIF + SUMIF).</t>
        </is>
      </c>
    </row>
    <row r="18" ht="30" customHeight="1">
      <c r="A18" s="7" t="inlineStr">
        <is>
          <t>Dashboard</t>
        </is>
      </c>
      <c r="B18" s="7" t="inlineStr">
        <is>
          <t>Gráficos</t>
        </is>
      </c>
      <c r="C18" s="7" t="inlineStr">
        <is>
          <t>Pizza: distribuição por status. Barras: OS por técnico. Atualizados automaticamente.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2026-04-15T09:04:35Z</dcterms:created>
  <dcterms:modified xmlns:dcterms="http://purl.org/dc/terms/" xmlns:xsi="http://www.w3.org/2001/XMLSchema-instance" xsi:type="dcterms:W3CDTF">2026-04-15T09:04:35Z</dcterms:modified>
</cp:coreProperties>
</file>