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F-e_Emitidas" sheetId="1" state="visible" r:id="rId1"/>
    <sheet xmlns:r="http://schemas.openxmlformats.org/officeDocument/2006/relationships" name="Produtos_Serviços" sheetId="2" state="visible" r:id="rId2"/>
    <sheet xmlns:r="http://schemas.openxmlformats.org/officeDocument/2006/relationships" name="Resumo_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R$ 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ourier New"/>
      <color rgb="000F766E"/>
      <sz val="9"/>
    </font>
    <font>
      <name val="Calibri"/>
      <b val="1"/>
      <color rgb="000F766E"/>
      <sz val="11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4" fontId="3" fillId="4" borderId="1" applyAlignment="1" pivotButton="0" quotePrefix="0" xfId="0">
      <alignment horizontal="right" vertical="center"/>
    </xf>
    <xf numFmtId="4" fontId="3" fillId="3" borderId="1" applyAlignment="1" pivotButton="0" quotePrefix="0" xfId="0">
      <alignment horizontal="right" vertical="center"/>
    </xf>
    <xf numFmtId="2" fontId="3" fillId="4" borderId="1" applyAlignment="1" pivotButton="0" quotePrefix="0" xfId="0">
      <alignment horizontal="center" vertical="center" wrapText="1"/>
    </xf>
    <xf numFmtId="4" fontId="4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4" fontId="3" fillId="5" borderId="1" applyAlignment="1" pivotButton="0" quotePrefix="0" xfId="0">
      <alignment horizontal="right" vertical="center"/>
    </xf>
    <xf numFmtId="4" fontId="4" fillId="5" borderId="1" applyAlignment="1" pivotButton="0" quotePrefix="0" xfId="0">
      <alignment horizontal="right" vertical="center"/>
    </xf>
    <xf numFmtId="0" fontId="5" fillId="6" borderId="0" applyAlignment="1" pivotButton="0" quotePrefix="0" xfId="0">
      <alignment horizontal="center" vertical="center" wrapText="1"/>
    </xf>
    <xf numFmtId="4" fontId="4" fillId="6" borderId="1" applyAlignment="1" pivotButton="0" quotePrefix="0" xfId="0">
      <alignment horizontal="right" vertical="center"/>
    </xf>
    <xf numFmtId="0" fontId="5" fillId="6" borderId="0" applyAlignment="1" pivotButton="0" quotePrefix="0" xfId="0">
      <alignment horizontal="left" vertical="center"/>
    </xf>
    <xf numFmtId="0" fontId="4" fillId="0" borderId="0" pivotButton="0" quotePrefix="0" xfId="0"/>
    <xf numFmtId="0" fontId="6" fillId="7" borderId="0" pivotButton="0" quotePrefix="0" xfId="0"/>
    <xf numFmtId="0" fontId="5" fillId="6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165" fontId="7" fillId="4" borderId="1" applyAlignment="1" pivotButton="0" quotePrefix="0" xfId="0">
      <alignment horizontal="right" vertical="center"/>
    </xf>
    <xf numFmtId="165" fontId="3" fillId="3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0" fontId="7" fillId="4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CACA"/>
        </patternFill>
      </fill>
    </dxf>
    <dxf>
      <font>
        <color rgb="00166534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Faturamento Mensal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'Resumo_Dashboard'!B19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'Resumo_Dashboard'!$A$20:$A$28</f>
            </numRef>
          </cat>
          <val>
            <numRef>
              <f>'Resumo_Dashboard'!$B$20:$B$28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Participação por Tipo de Operação</a:t>
            </a:r>
          </a:p>
        </rich>
      </tx>
    </title>
    <plotArea>
      <pieChart>
        <varyColors val="1"/>
        <ser>
          <idx val="0"/>
          <order val="0"/>
          <tx>
            <strRef>
              <f>'Resumo_Dashboard'!G4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cat>
            <numRef>
              <f>'Resumo_Dashboard'!$E$5:$E$6</f>
            </numRef>
          </cat>
          <val>
            <numRef>
              <f>'Resumo_Dashboard'!$G$5:$G$6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Faturamento por UF (R$)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'Resumo_Dashboard'!G8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'Resumo_Dashboard'!$E$9:$E$16</f>
            </numRef>
          </cat>
          <val>
            <numRef>
              <f>'Resumo_Dashboard'!$G$9:$G$16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20</row>
      <rowOff>0</rowOff>
    </from>
    <ext cx="504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14" customWidth="1" min="3" max="3"/>
    <col width="24" customWidth="1" min="4" max="4"/>
    <col width="18" customWidth="1" min="5" max="5"/>
    <col width="16" customWidth="1" min="6" max="6"/>
    <col width="22" customWidth="1" min="7" max="7"/>
    <col width="8" customWidth="1" min="8" max="8"/>
    <col width="24" customWidth="1" min="9" max="9"/>
    <col width="7" customWidth="1" min="10" max="10"/>
    <col width="15" customWidth="1" min="11" max="11"/>
    <col width="13" customWidth="1" min="12" max="12"/>
    <col width="15" customWidth="1" min="13" max="13"/>
    <col width="13" customWidth="1" min="14" max="14"/>
    <col width="13" customWidth="1" min="15" max="15"/>
    <col width="9" customWidth="1" min="16" max="16"/>
    <col width="12" customWidth="1" min="17" max="17"/>
    <col width="14" customWidth="1" min="18" max="18"/>
    <col width="12" customWidth="1" min="19" max="19"/>
    <col width="22" customWidth="1" min="20" max="20"/>
  </cols>
  <sheetData>
    <row r="1" ht="30" customHeight="1">
      <c r="A1" s="1" t="inlineStr">
        <is>
          <t>MODELO DE NOTA FISCAL ELETRÔNICA — NF-e EMITIDAS</t>
        </is>
      </c>
    </row>
    <row r="2" ht="36" customHeight="1">
      <c r="A2" s="2" t="inlineStr">
        <is>
          <t>Nº NF</t>
        </is>
      </c>
      <c r="B2" s="2" t="inlineStr">
        <is>
          <t>Série</t>
        </is>
      </c>
      <c r="C2" s="2" t="inlineStr">
        <is>
          <t>Data Emissão</t>
        </is>
      </c>
      <c r="D2" s="2" t="inlineStr">
        <is>
          <t>Cliente</t>
        </is>
      </c>
      <c r="E2" s="2" t="inlineStr">
        <is>
          <t>CPF/CNPJ</t>
        </is>
      </c>
      <c r="F2" s="2" t="inlineStr">
        <is>
          <t>Cidade/UF</t>
        </is>
      </c>
      <c r="G2" s="2" t="inlineStr">
        <is>
          <t>Tipo de Operação</t>
        </is>
      </c>
      <c r="H2" s="2" t="inlineStr">
        <is>
          <t>CFOP</t>
        </is>
      </c>
      <c r="I2" s="2" t="inlineStr">
        <is>
          <t>Item/Serviço</t>
        </is>
      </c>
      <c r="J2" s="2" t="inlineStr">
        <is>
          <t>Qtd</t>
        </is>
      </c>
      <c r="K2" s="2" t="inlineStr">
        <is>
          <t>Valor Unit. (R$)</t>
        </is>
      </c>
      <c r="L2" s="2" t="inlineStr">
        <is>
          <t>Desconto (R$)</t>
        </is>
      </c>
      <c r="M2" s="2" t="inlineStr">
        <is>
          <t>Base de Cálculo</t>
        </is>
      </c>
      <c r="N2" s="2" t="inlineStr">
        <is>
          <t>Alíq. ICMS (%)</t>
        </is>
      </c>
      <c r="O2" s="2" t="inlineStr">
        <is>
          <t>Valor ICMS</t>
        </is>
      </c>
      <c r="P2" s="2" t="inlineStr">
        <is>
          <t>ISS (%)</t>
        </is>
      </c>
      <c r="Q2" s="2" t="inlineStr">
        <is>
          <t>Valor ISS</t>
        </is>
      </c>
      <c r="R2" s="2" t="inlineStr">
        <is>
          <t>Valor Total</t>
        </is>
      </c>
      <c r="S2" s="2" t="inlineStr">
        <is>
          <t>Status</t>
        </is>
      </c>
      <c r="T2" s="2" t="inlineStr">
        <is>
          <t>Observações</t>
        </is>
      </c>
    </row>
    <row r="3">
      <c r="A3" s="3" t="n">
        <v>1001</v>
      </c>
      <c r="B3" s="3" t="inlineStr">
        <is>
          <t>001</t>
        </is>
      </c>
      <c r="C3" s="4" t="inlineStr">
        <is>
          <t>03/01/2025</t>
        </is>
      </c>
      <c r="D3" s="5" t="inlineStr">
        <is>
          <t>João Pereira Silva</t>
        </is>
      </c>
      <c r="E3" s="5" t="inlineStr">
        <is>
          <t>123.456.789-00</t>
        </is>
      </c>
      <c r="F3" s="5" t="inlineStr">
        <is>
          <t>São Paulo/SP</t>
        </is>
      </c>
      <c r="G3" s="5" t="inlineStr">
        <is>
          <t>Venda de mercadoria</t>
        </is>
      </c>
      <c r="H3" s="5" t="inlineStr">
        <is>
          <t>5102</t>
        </is>
      </c>
      <c r="I3" s="5" t="inlineStr">
        <is>
          <t>Notebook Dell</t>
        </is>
      </c>
      <c r="J3" s="6" t="n">
        <v>2</v>
      </c>
      <c r="K3" s="7" t="n">
        <v>3200</v>
      </c>
      <c r="L3" s="7" t="n">
        <v>100</v>
      </c>
      <c r="M3" s="8">
        <f>J3*K3-L3</f>
        <v/>
      </c>
      <c r="N3" s="9" t="n">
        <v>12</v>
      </c>
      <c r="O3" s="8">
        <f>SE(G3="Venda de mercadoria";M3*N3/100;0)</f>
        <v/>
      </c>
      <c r="P3" s="9" t="n">
        <v>0</v>
      </c>
      <c r="Q3" s="8">
        <f>SE(G3="Prestação de serviço";M3*P3/100;0)</f>
        <v/>
      </c>
      <c r="R3" s="10">
        <f>M3+O3+Q3</f>
        <v/>
      </c>
      <c r="S3" s="3" t="inlineStr">
        <is>
          <t>Emitida</t>
        </is>
      </c>
      <c r="T3" s="5" t="inlineStr">
        <is>
          <t>Primeira venda do ano</t>
        </is>
      </c>
    </row>
    <row r="4">
      <c r="A4" s="11" t="n">
        <v>1002</v>
      </c>
      <c r="B4" s="11" t="inlineStr">
        <is>
          <t>001</t>
        </is>
      </c>
      <c r="C4" s="12" t="inlineStr">
        <is>
          <t>08/01/2025</t>
        </is>
      </c>
      <c r="D4" s="13" t="inlineStr">
        <is>
          <t>Ana Beatriz Lima</t>
        </is>
      </c>
      <c r="E4" s="13" t="inlineStr">
        <is>
          <t>234.567.890-11</t>
        </is>
      </c>
      <c r="F4" s="13" t="inlineStr">
        <is>
          <t>Campinas/SP</t>
        </is>
      </c>
      <c r="G4" s="13" t="inlineStr">
        <is>
          <t>Prestação de serviço</t>
        </is>
      </c>
      <c r="H4" s="13" t="inlineStr">
        <is>
          <t>5933</t>
        </is>
      </c>
      <c r="I4" s="13" t="inlineStr">
        <is>
          <t>Consultoria Financeira</t>
        </is>
      </c>
      <c r="J4" s="6" t="n">
        <v>1</v>
      </c>
      <c r="K4" s="7" t="n">
        <v>1500</v>
      </c>
      <c r="L4" s="7" t="n">
        <v>0</v>
      </c>
      <c r="M4" s="14">
        <f>J4*K4-L4</f>
        <v/>
      </c>
      <c r="N4" s="9" t="n">
        <v>0</v>
      </c>
      <c r="O4" s="14">
        <f>SE(G4="Venda de mercadoria";M4*N4/100;0)</f>
        <v/>
      </c>
      <c r="P4" s="9" t="n">
        <v>5</v>
      </c>
      <c r="Q4" s="14">
        <f>SE(G4="Prestação de serviço";M4*P4/100;0)</f>
        <v/>
      </c>
      <c r="R4" s="15">
        <f>M4+O4+Q4</f>
        <v/>
      </c>
      <c r="S4" s="11" t="inlineStr">
        <is>
          <t>Emitida</t>
        </is>
      </c>
      <c r="T4" s="13" t="inlineStr">
        <is>
          <t>Contrato mensal</t>
        </is>
      </c>
    </row>
    <row r="5">
      <c r="A5" s="3" t="n">
        <v>1003</v>
      </c>
      <c r="B5" s="3" t="inlineStr">
        <is>
          <t>001</t>
        </is>
      </c>
      <c r="C5" s="4" t="inlineStr">
        <is>
          <t>15/01/2025</t>
        </is>
      </c>
      <c r="D5" s="5" t="inlineStr">
        <is>
          <t>Marcio Almeida Costa</t>
        </is>
      </c>
      <c r="E5" s="5" t="inlineStr">
        <is>
          <t>12.345.678/0001-99</t>
        </is>
      </c>
      <c r="F5" s="5" t="inlineStr">
        <is>
          <t>Belo Horizonte/MG</t>
        </is>
      </c>
      <c r="G5" s="5" t="inlineStr">
        <is>
          <t>Venda de mercadoria</t>
        </is>
      </c>
      <c r="H5" s="5" t="inlineStr">
        <is>
          <t>5102</t>
        </is>
      </c>
      <c r="I5" s="5" t="inlineStr">
        <is>
          <t>Impressora Multifuncional</t>
        </is>
      </c>
      <c r="J5" s="6" t="n">
        <v>3</v>
      </c>
      <c r="K5" s="7" t="n">
        <v>850</v>
      </c>
      <c r="L5" s="7" t="n">
        <v>50</v>
      </c>
      <c r="M5" s="8">
        <f>J5*K5-L5</f>
        <v/>
      </c>
      <c r="N5" s="9" t="n">
        <v>12</v>
      </c>
      <c r="O5" s="8">
        <f>SE(G5="Venda de mercadoria";M5*N5/100;0)</f>
        <v/>
      </c>
      <c r="P5" s="9" t="n">
        <v>0</v>
      </c>
      <c r="Q5" s="8">
        <f>SE(G5="Prestação de serviço";M5*P5/100;0)</f>
        <v/>
      </c>
      <c r="R5" s="10">
        <f>M5+O5+Q5</f>
        <v/>
      </c>
      <c r="S5" s="3" t="inlineStr">
        <is>
          <t>Emitida</t>
        </is>
      </c>
      <c r="T5" s="5" t="inlineStr"/>
    </row>
    <row r="6">
      <c r="A6" s="11" t="n">
        <v>1004</v>
      </c>
      <c r="B6" s="11" t="inlineStr">
        <is>
          <t>001</t>
        </is>
      </c>
      <c r="C6" s="12" t="inlineStr">
        <is>
          <t>22/01/2025</t>
        </is>
      </c>
      <c r="D6" s="13" t="inlineStr">
        <is>
          <t>Fernanda Souza Rocha</t>
        </is>
      </c>
      <c r="E6" s="13" t="inlineStr">
        <is>
          <t>345.678.901-22</t>
        </is>
      </c>
      <c r="F6" s="13" t="inlineStr">
        <is>
          <t>Curitiba/PR</t>
        </is>
      </c>
      <c r="G6" s="13" t="inlineStr">
        <is>
          <t>Prestação de serviço</t>
        </is>
      </c>
      <c r="H6" s="13" t="inlineStr">
        <is>
          <t>5933</t>
        </is>
      </c>
      <c r="I6" s="13" t="inlineStr">
        <is>
          <t>Desenvolvimento de Site</t>
        </is>
      </c>
      <c r="J6" s="6" t="n">
        <v>1</v>
      </c>
      <c r="K6" s="7" t="n">
        <v>4200</v>
      </c>
      <c r="L6" s="7" t="n">
        <v>200</v>
      </c>
      <c r="M6" s="14">
        <f>J6*K6-L6</f>
        <v/>
      </c>
      <c r="N6" s="9" t="n">
        <v>0</v>
      </c>
      <c r="O6" s="14">
        <f>SE(G6="Venda de mercadoria";M6*N6/100;0)</f>
        <v/>
      </c>
      <c r="P6" s="9" t="n">
        <v>5</v>
      </c>
      <c r="Q6" s="14">
        <f>SE(G6="Prestação de serviço";M6*P6/100;0)</f>
        <v/>
      </c>
      <c r="R6" s="15">
        <f>M6+O6+Q6</f>
        <v/>
      </c>
      <c r="S6" s="11" t="inlineStr">
        <is>
          <t>Emitida</t>
        </is>
      </c>
      <c r="T6" s="13" t="inlineStr">
        <is>
          <t>Projeto e-commerce</t>
        </is>
      </c>
    </row>
    <row r="7">
      <c r="A7" s="3" t="n">
        <v>1005</v>
      </c>
      <c r="B7" s="3" t="inlineStr">
        <is>
          <t>001</t>
        </is>
      </c>
      <c r="C7" s="4" t="inlineStr">
        <is>
          <t>28/01/2025</t>
        </is>
      </c>
      <c r="D7" s="5" t="inlineStr">
        <is>
          <t>Lucas Martins Nogueira</t>
        </is>
      </c>
      <c r="E7" s="5" t="inlineStr">
        <is>
          <t>56.789.012/0001-33</t>
        </is>
      </c>
      <c r="F7" s="5" t="inlineStr">
        <is>
          <t>Rio de Janeiro/RJ</t>
        </is>
      </c>
      <c r="G7" s="5" t="inlineStr">
        <is>
          <t>Venda de mercadoria</t>
        </is>
      </c>
      <c r="H7" s="5" t="inlineStr">
        <is>
          <t>5102</t>
        </is>
      </c>
      <c r="I7" s="5" t="inlineStr">
        <is>
          <t>Monitor 24"</t>
        </is>
      </c>
      <c r="J7" s="6" t="n">
        <v>5</v>
      </c>
      <c r="K7" s="7" t="n">
        <v>720</v>
      </c>
      <c r="L7" s="7" t="n">
        <v>0</v>
      </c>
      <c r="M7" s="8">
        <f>J7*K7-L7</f>
        <v/>
      </c>
      <c r="N7" s="9" t="n">
        <v>12</v>
      </c>
      <c r="O7" s="8">
        <f>SE(G7="Venda de mercadoria";M7*N7/100;0)</f>
        <v/>
      </c>
      <c r="P7" s="9" t="n">
        <v>0</v>
      </c>
      <c r="Q7" s="8">
        <f>SE(G7="Prestação de serviço";M7*P7/100;0)</f>
        <v/>
      </c>
      <c r="R7" s="10">
        <f>M7+O7+Q7</f>
        <v/>
      </c>
      <c r="S7" s="3" t="inlineStr">
        <is>
          <t>Emitida</t>
        </is>
      </c>
      <c r="T7" s="5" t="inlineStr"/>
    </row>
    <row r="8">
      <c r="A8" s="11" t="n">
        <v>1006</v>
      </c>
      <c r="B8" s="11" t="inlineStr">
        <is>
          <t>001</t>
        </is>
      </c>
      <c r="C8" s="12" t="inlineStr">
        <is>
          <t>05/02/2025</t>
        </is>
      </c>
      <c r="D8" s="13" t="inlineStr">
        <is>
          <t>Patrícia Oliveira Santos</t>
        </is>
      </c>
      <c r="E8" s="13" t="inlineStr">
        <is>
          <t>456.789.012-44</t>
        </is>
      </c>
      <c r="F8" s="13" t="inlineStr">
        <is>
          <t>Salvador/BA</t>
        </is>
      </c>
      <c r="G8" s="13" t="inlineStr">
        <is>
          <t>Prestação de serviço</t>
        </is>
      </c>
      <c r="H8" s="13" t="inlineStr">
        <is>
          <t>5933</t>
        </is>
      </c>
      <c r="I8" s="13" t="inlineStr">
        <is>
          <t>Suporte Técnico</t>
        </is>
      </c>
      <c r="J8" s="6" t="n">
        <v>8</v>
      </c>
      <c r="K8" s="7" t="n">
        <v>200</v>
      </c>
      <c r="L8" s="7" t="n">
        <v>0</v>
      </c>
      <c r="M8" s="14">
        <f>J8*K8-L8</f>
        <v/>
      </c>
      <c r="N8" s="9" t="n">
        <v>0</v>
      </c>
      <c r="O8" s="14">
        <f>SE(G8="Venda de mercadoria";M8*N8/100;0)</f>
        <v/>
      </c>
      <c r="P8" s="9" t="n">
        <v>5</v>
      </c>
      <c r="Q8" s="14">
        <f>SE(G8="Prestação de serviço";M8*P8/100;0)</f>
        <v/>
      </c>
      <c r="R8" s="15">
        <f>M8+O8+Q8</f>
        <v/>
      </c>
      <c r="S8" s="11" t="inlineStr">
        <is>
          <t>Emitida</t>
        </is>
      </c>
      <c r="T8" s="13" t="inlineStr">
        <is>
          <t>Horas avulsas</t>
        </is>
      </c>
    </row>
    <row r="9">
      <c r="A9" s="3" t="n">
        <v>1007</v>
      </c>
      <c r="B9" s="3" t="inlineStr">
        <is>
          <t>001</t>
        </is>
      </c>
      <c r="C9" s="4" t="inlineStr">
        <is>
          <t>12/02/2025</t>
        </is>
      </c>
      <c r="D9" s="5" t="inlineStr">
        <is>
          <t>Rafael Henrique Dias</t>
        </is>
      </c>
      <c r="E9" s="5" t="inlineStr">
        <is>
          <t>67.890.123/0001-55</t>
        </is>
      </c>
      <c r="F9" s="5" t="inlineStr">
        <is>
          <t>Recife/PE</t>
        </is>
      </c>
      <c r="G9" s="5" t="inlineStr">
        <is>
          <t>Venda de mercadoria</t>
        </is>
      </c>
      <c r="H9" s="5" t="inlineStr">
        <is>
          <t>5102</t>
        </is>
      </c>
      <c r="I9" s="5" t="inlineStr">
        <is>
          <t>Mouse Sem Fio</t>
        </is>
      </c>
      <c r="J9" s="6" t="n">
        <v>10</v>
      </c>
      <c r="K9" s="7" t="n">
        <v>95</v>
      </c>
      <c r="L9" s="7" t="n">
        <v>50</v>
      </c>
      <c r="M9" s="8">
        <f>J9*K9-L9</f>
        <v/>
      </c>
      <c r="N9" s="9" t="n">
        <v>12</v>
      </c>
      <c r="O9" s="8">
        <f>SE(G9="Venda de mercadoria";M9*N9/100;0)</f>
        <v/>
      </c>
      <c r="P9" s="9" t="n">
        <v>0</v>
      </c>
      <c r="Q9" s="8">
        <f>SE(G9="Prestação de serviço";M9*P9/100;0)</f>
        <v/>
      </c>
      <c r="R9" s="10">
        <f>M9+O9+Q9</f>
        <v/>
      </c>
      <c r="S9" s="3" t="inlineStr">
        <is>
          <t>Cancelada</t>
        </is>
      </c>
      <c r="T9" s="5" t="inlineStr">
        <is>
          <t>Cancelada pelo cliente</t>
        </is>
      </c>
    </row>
    <row r="10">
      <c r="A10" s="11" t="n">
        <v>1008</v>
      </c>
      <c r="B10" s="11" t="inlineStr">
        <is>
          <t>001</t>
        </is>
      </c>
      <c r="C10" s="12" t="inlineStr">
        <is>
          <t>18/02/2025</t>
        </is>
      </c>
      <c r="D10" s="13" t="inlineStr">
        <is>
          <t>Camila Barbosa Ferreira</t>
        </is>
      </c>
      <c r="E10" s="13" t="inlineStr">
        <is>
          <t>567.890.123-66</t>
        </is>
      </c>
      <c r="F10" s="13" t="inlineStr">
        <is>
          <t>Porto Alegre/RS</t>
        </is>
      </c>
      <c r="G10" s="13" t="inlineStr">
        <is>
          <t>Prestação de serviço</t>
        </is>
      </c>
      <c r="H10" s="13" t="inlineStr">
        <is>
          <t>5933</t>
        </is>
      </c>
      <c r="I10" s="13" t="inlineStr">
        <is>
          <t>Treinamento Corporativo</t>
        </is>
      </c>
      <c r="J10" s="6" t="n">
        <v>1</v>
      </c>
      <c r="K10" s="7" t="n">
        <v>3500</v>
      </c>
      <c r="L10" s="7" t="n">
        <v>0</v>
      </c>
      <c r="M10" s="14">
        <f>J10*K10-L10</f>
        <v/>
      </c>
      <c r="N10" s="9" t="n">
        <v>0</v>
      </c>
      <c r="O10" s="14">
        <f>SE(G10="Venda de mercadoria";M10*N10/100;0)</f>
        <v/>
      </c>
      <c r="P10" s="9" t="n">
        <v>5</v>
      </c>
      <c r="Q10" s="14">
        <f>SE(G10="Prestação de serviço";M10*P10/100;0)</f>
        <v/>
      </c>
      <c r="R10" s="15">
        <f>M10+O10+Q10</f>
        <v/>
      </c>
      <c r="S10" s="11" t="inlineStr">
        <is>
          <t>Emitida</t>
        </is>
      </c>
      <c r="T10" s="13" t="inlineStr">
        <is>
          <t>Turma de 20 pessoas</t>
        </is>
      </c>
    </row>
    <row r="11">
      <c r="A11" s="3" t="n">
        <v>1009</v>
      </c>
      <c r="B11" s="3" t="inlineStr">
        <is>
          <t>001</t>
        </is>
      </c>
      <c r="C11" s="4" t="inlineStr">
        <is>
          <t>25/02/2025</t>
        </is>
      </c>
      <c r="D11" s="5" t="inlineStr">
        <is>
          <t>Diego Santos Carvalho</t>
        </is>
      </c>
      <c r="E11" s="5" t="inlineStr">
        <is>
          <t>78.901.234/0001-77</t>
        </is>
      </c>
      <c r="F11" s="5" t="inlineStr">
        <is>
          <t>Fortaleza/CE</t>
        </is>
      </c>
      <c r="G11" s="5" t="inlineStr">
        <is>
          <t>Venda de mercadoria</t>
        </is>
      </c>
      <c r="H11" s="5" t="inlineStr">
        <is>
          <t>5102</t>
        </is>
      </c>
      <c r="I11" s="5" t="inlineStr">
        <is>
          <t>Teclado ABNT2</t>
        </is>
      </c>
      <c r="J11" s="6" t="n">
        <v>15</v>
      </c>
      <c r="K11" s="7" t="n">
        <v>150</v>
      </c>
      <c r="L11" s="7" t="n">
        <v>75</v>
      </c>
      <c r="M11" s="8">
        <f>J11*K11-L11</f>
        <v/>
      </c>
      <c r="N11" s="9" t="n">
        <v>12</v>
      </c>
      <c r="O11" s="8">
        <f>SE(G11="Venda de mercadoria";M11*N11/100;0)</f>
        <v/>
      </c>
      <c r="P11" s="9" t="n">
        <v>0</v>
      </c>
      <c r="Q11" s="8">
        <f>SE(G11="Prestação de serviço";M11*P11/100;0)</f>
        <v/>
      </c>
      <c r="R11" s="10">
        <f>M11+O11+Q11</f>
        <v/>
      </c>
      <c r="S11" s="3" t="inlineStr">
        <is>
          <t>Pendente</t>
        </is>
      </c>
      <c r="T11" s="5" t="inlineStr"/>
    </row>
    <row r="12">
      <c r="C12" s="16" t="inlineStr">
        <is>
          <t>TOTAIS</t>
        </is>
      </c>
      <c r="K12" s="17">
        <f>SOMA(K3:K11)</f>
        <v/>
      </c>
      <c r="L12" s="17">
        <f>SOMA(L3:L11)</f>
        <v/>
      </c>
      <c r="M12" s="17">
        <f>SOMA(M3:M11)</f>
        <v/>
      </c>
      <c r="O12" s="17">
        <f>SOMA(O3:O11)</f>
        <v/>
      </c>
      <c r="Q12" s="17">
        <f>SOMA(Q3:Q11)</f>
        <v/>
      </c>
      <c r="R12" s="17">
        <f>SOMA(R3:R11)</f>
        <v/>
      </c>
    </row>
  </sheetData>
  <mergeCells count="1">
    <mergeCell ref="A1:T1"/>
  </mergeCells>
  <conditionalFormatting sqref="S3:S11">
    <cfRule type="expression" priority="1" dxfId="0" stopIfTrue="1">
      <formula>$S3="Cancelada"</formula>
    </cfRule>
  </conditionalFormatting>
  <conditionalFormatting sqref="R3:R11">
    <cfRule type="expression" priority="2" dxfId="1" stopIfTrue="1">
      <formula>$R3&gt;0</formula>
    </cfRule>
  </conditionalFormatting>
  <dataValidations count="2">
    <dataValidation sqref="S3:S22" showErrorMessage="1" showInputMessage="1" allowBlank="1" type="list">
      <formula1>"Emitida,Pendente,Cancelada"</formula1>
    </dataValidation>
    <dataValidation sqref="G3:G22" showErrorMessage="1" showInputMessage="1" allowBlank="1" type="list">
      <formula1>"Venda de mercadoria,Prestação de serviço"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8" customWidth="1" min="3" max="3"/>
    <col width="10" customWidth="1" min="4" max="4"/>
    <col width="14" customWidth="1" min="5" max="5"/>
    <col width="12" customWidth="1" min="6" max="6"/>
    <col width="16" customWidth="1" min="7" max="7"/>
    <col width="14" customWidth="1" min="8" max="8"/>
    <col width="13" customWidth="1" min="9" max="9"/>
    <col width="10" customWidth="1" min="10" max="10"/>
  </cols>
  <sheetData>
    <row r="1" ht="28" customHeight="1">
      <c r="A1" s="1" t="inlineStr">
        <is>
          <t>CADASTRO DE PRODUTOS E SERVIÇOS</t>
        </is>
      </c>
    </row>
    <row r="2" ht="30" customHeight="1">
      <c r="A2" s="2" t="inlineStr">
        <is>
          <t>Código</t>
        </is>
      </c>
      <c r="B2" s="2" t="inlineStr">
        <is>
          <t>Descrição</t>
        </is>
      </c>
      <c r="C2" s="2" t="inlineStr">
        <is>
          <t>Tipo</t>
        </is>
      </c>
      <c r="D2" s="2" t="inlineStr">
        <is>
          <t>Unidade</t>
        </is>
      </c>
      <c r="E2" s="2" t="inlineStr">
        <is>
          <t>NCM</t>
        </is>
      </c>
      <c r="F2" s="2" t="inlineStr">
        <is>
          <t>CFOP Padrão</t>
        </is>
      </c>
      <c r="G2" s="2" t="inlineStr">
        <is>
          <t>Valor Padrão (R$)</t>
        </is>
      </c>
      <c r="H2" s="2" t="inlineStr">
        <is>
          <t>ICMS Padrão (%)</t>
        </is>
      </c>
      <c r="I2" s="2" t="inlineStr">
        <is>
          <t>ISS Padrão (%)</t>
        </is>
      </c>
      <c r="J2" s="2" t="inlineStr">
        <is>
          <t>Ativo</t>
        </is>
      </c>
    </row>
    <row r="3">
      <c r="A3" s="3" t="inlineStr">
        <is>
          <t>P001</t>
        </is>
      </c>
      <c r="B3" s="5" t="inlineStr">
        <is>
          <t>Notebook Dell</t>
        </is>
      </c>
      <c r="C3" s="5" t="inlineStr">
        <is>
          <t>Produto</t>
        </is>
      </c>
      <c r="D3" s="5" t="inlineStr">
        <is>
          <t>UN</t>
        </is>
      </c>
      <c r="E3" s="3" t="inlineStr">
        <is>
          <t>8471.30.19</t>
        </is>
      </c>
      <c r="F3" s="3" t="inlineStr">
        <is>
          <t>5102</t>
        </is>
      </c>
      <c r="G3" s="7" t="n">
        <v>3200</v>
      </c>
      <c r="H3" s="9" t="n">
        <v>12</v>
      </c>
      <c r="I3" s="9" t="n">
        <v>0</v>
      </c>
      <c r="J3" s="6" t="inlineStr">
        <is>
          <t>Sim</t>
        </is>
      </c>
    </row>
    <row r="4">
      <c r="A4" s="11" t="inlineStr">
        <is>
          <t>P002</t>
        </is>
      </c>
      <c r="B4" s="13" t="inlineStr">
        <is>
          <t>Impressora Multifuncional</t>
        </is>
      </c>
      <c r="C4" s="13" t="inlineStr">
        <is>
          <t>Produto</t>
        </is>
      </c>
      <c r="D4" s="13" t="inlineStr">
        <is>
          <t>UN</t>
        </is>
      </c>
      <c r="E4" s="11" t="inlineStr">
        <is>
          <t>8443.31.99</t>
        </is>
      </c>
      <c r="F4" s="11" t="inlineStr">
        <is>
          <t>5102</t>
        </is>
      </c>
      <c r="G4" s="7" t="n">
        <v>850</v>
      </c>
      <c r="H4" s="9" t="n">
        <v>12</v>
      </c>
      <c r="I4" s="9" t="n">
        <v>0</v>
      </c>
      <c r="J4" s="6" t="inlineStr">
        <is>
          <t>Sim</t>
        </is>
      </c>
    </row>
    <row r="5">
      <c r="A5" s="3" t="inlineStr">
        <is>
          <t>P003</t>
        </is>
      </c>
      <c r="B5" s="5" t="inlineStr">
        <is>
          <t>Mouse Sem Fio</t>
        </is>
      </c>
      <c r="C5" s="5" t="inlineStr">
        <is>
          <t>Produto</t>
        </is>
      </c>
      <c r="D5" s="5" t="inlineStr">
        <is>
          <t>UN</t>
        </is>
      </c>
      <c r="E5" s="3" t="inlineStr">
        <is>
          <t>8471.60.53</t>
        </is>
      </c>
      <c r="F5" s="3" t="inlineStr">
        <is>
          <t>5102</t>
        </is>
      </c>
      <c r="G5" s="7" t="n">
        <v>95</v>
      </c>
      <c r="H5" s="9" t="n">
        <v>12</v>
      </c>
      <c r="I5" s="9" t="n">
        <v>0</v>
      </c>
      <c r="J5" s="6" t="inlineStr">
        <is>
          <t>Sim</t>
        </is>
      </c>
    </row>
    <row r="6">
      <c r="A6" s="11" t="inlineStr">
        <is>
          <t>P004</t>
        </is>
      </c>
      <c r="B6" s="13" t="inlineStr">
        <is>
          <t>Monitor 24"</t>
        </is>
      </c>
      <c r="C6" s="13" t="inlineStr">
        <is>
          <t>Produto</t>
        </is>
      </c>
      <c r="D6" s="13" t="inlineStr">
        <is>
          <t>UN</t>
        </is>
      </c>
      <c r="E6" s="11" t="inlineStr">
        <is>
          <t>8528.52.20</t>
        </is>
      </c>
      <c r="F6" s="11" t="inlineStr">
        <is>
          <t>5102</t>
        </is>
      </c>
      <c r="G6" s="7" t="n">
        <v>720</v>
      </c>
      <c r="H6" s="9" t="n">
        <v>12</v>
      </c>
      <c r="I6" s="9" t="n">
        <v>0</v>
      </c>
      <c r="J6" s="6" t="inlineStr">
        <is>
          <t>Sim</t>
        </is>
      </c>
    </row>
    <row r="7">
      <c r="A7" s="3" t="inlineStr">
        <is>
          <t>P005</t>
        </is>
      </c>
      <c r="B7" s="5" t="inlineStr">
        <is>
          <t>Teclado ABNT2</t>
        </is>
      </c>
      <c r="C7" s="5" t="inlineStr">
        <is>
          <t>Produto</t>
        </is>
      </c>
      <c r="D7" s="5" t="inlineStr">
        <is>
          <t>UN</t>
        </is>
      </c>
      <c r="E7" s="3" t="inlineStr">
        <is>
          <t>8471.60.52</t>
        </is>
      </c>
      <c r="F7" s="3" t="inlineStr">
        <is>
          <t>5102</t>
        </is>
      </c>
      <c r="G7" s="7" t="n">
        <v>150</v>
      </c>
      <c r="H7" s="9" t="n">
        <v>12</v>
      </c>
      <c r="I7" s="9" t="n">
        <v>0</v>
      </c>
      <c r="J7" s="6" t="inlineStr">
        <is>
          <t>Sim</t>
        </is>
      </c>
    </row>
    <row r="8">
      <c r="A8" s="11" t="inlineStr">
        <is>
          <t>S001</t>
        </is>
      </c>
      <c r="B8" s="13" t="inlineStr">
        <is>
          <t>Consultoria Financeira</t>
        </is>
      </c>
      <c r="C8" s="13" t="inlineStr">
        <is>
          <t>Serviço</t>
        </is>
      </c>
      <c r="D8" s="13" t="inlineStr">
        <is>
          <t>HR</t>
        </is>
      </c>
      <c r="E8" s="11" t="inlineStr">
        <is>
          <t>9999.00.00</t>
        </is>
      </c>
      <c r="F8" s="11" t="inlineStr">
        <is>
          <t>5933</t>
        </is>
      </c>
      <c r="G8" s="7" t="n">
        <v>1500</v>
      </c>
      <c r="H8" s="9" t="n">
        <v>0</v>
      </c>
      <c r="I8" s="9" t="n">
        <v>5</v>
      </c>
      <c r="J8" s="6" t="inlineStr">
        <is>
          <t>Sim</t>
        </is>
      </c>
    </row>
    <row r="9">
      <c r="A9" s="3" t="inlineStr">
        <is>
          <t>S002</t>
        </is>
      </c>
      <c r="B9" s="5" t="inlineStr">
        <is>
          <t>Desenvolvimento de Site</t>
        </is>
      </c>
      <c r="C9" s="5" t="inlineStr">
        <is>
          <t>Serviço</t>
        </is>
      </c>
      <c r="D9" s="5" t="inlineStr">
        <is>
          <t>SV</t>
        </is>
      </c>
      <c r="E9" s="3" t="inlineStr">
        <is>
          <t>9999.00.00</t>
        </is>
      </c>
      <c r="F9" s="3" t="inlineStr">
        <is>
          <t>5933</t>
        </is>
      </c>
      <c r="G9" s="7" t="n">
        <v>4200</v>
      </c>
      <c r="H9" s="9" t="n">
        <v>0</v>
      </c>
      <c r="I9" s="9" t="n">
        <v>5</v>
      </c>
      <c r="J9" s="6" t="inlineStr">
        <is>
          <t>Sim</t>
        </is>
      </c>
    </row>
    <row r="10">
      <c r="A10" s="11" t="inlineStr">
        <is>
          <t>S003</t>
        </is>
      </c>
      <c r="B10" s="13" t="inlineStr">
        <is>
          <t>Suporte Técnico</t>
        </is>
      </c>
      <c r="C10" s="13" t="inlineStr">
        <is>
          <t>Serviço</t>
        </is>
      </c>
      <c r="D10" s="13" t="inlineStr">
        <is>
          <t>HR</t>
        </is>
      </c>
      <c r="E10" s="11" t="inlineStr">
        <is>
          <t>9999.00.00</t>
        </is>
      </c>
      <c r="F10" s="11" t="inlineStr">
        <is>
          <t>5933</t>
        </is>
      </c>
      <c r="G10" s="7" t="n">
        <v>200</v>
      </c>
      <c r="H10" s="9" t="n">
        <v>0</v>
      </c>
      <c r="I10" s="9" t="n">
        <v>5</v>
      </c>
      <c r="J10" s="6" t="inlineStr">
        <is>
          <t>Sim</t>
        </is>
      </c>
    </row>
    <row r="11">
      <c r="A11" s="3" t="inlineStr">
        <is>
          <t>S004</t>
        </is>
      </c>
      <c r="B11" s="5" t="inlineStr">
        <is>
          <t>Treinamento Corporativo</t>
        </is>
      </c>
      <c r="C11" s="5" t="inlineStr">
        <is>
          <t>Serviço</t>
        </is>
      </c>
      <c r="D11" s="5" t="inlineStr">
        <is>
          <t>SV</t>
        </is>
      </c>
      <c r="E11" s="3" t="inlineStr">
        <is>
          <t>9999.00.00</t>
        </is>
      </c>
      <c r="F11" s="3" t="inlineStr">
        <is>
          <t>5933</t>
        </is>
      </c>
      <c r="G11" s="7" t="n">
        <v>3500</v>
      </c>
      <c r="H11" s="9" t="n">
        <v>0</v>
      </c>
      <c r="I11" s="9" t="n">
        <v>5</v>
      </c>
      <c r="J11" s="6" t="inlineStr">
        <is>
          <t>Não</t>
        </is>
      </c>
    </row>
    <row r="13">
      <c r="A13" s="18" t="inlineStr">
        <is>
          <t>FÓRMULA PROCV PARA USO NA ABA NF-e_Emitidas:</t>
        </is>
      </c>
    </row>
    <row r="14">
      <c r="A14" s="19" t="inlineStr">
        <is>
          <t>Buscar valor:</t>
        </is>
      </c>
      <c r="B14" s="20">
        <f>PROCV(I3;Produtos_Serviços!B:J;6;FALSO)</f>
        <v/>
      </c>
    </row>
    <row r="15">
      <c r="A15" s="19" t="inlineStr">
        <is>
          <t>Buscar ICMS:</t>
        </is>
      </c>
      <c r="B15" s="20">
        <f>PROCV(I3;Produtos_Serviços!B:J;7;FALSO)</f>
        <v/>
      </c>
    </row>
    <row r="16">
      <c r="A16" s="19" t="inlineStr">
        <is>
          <t>Buscar ISS:</t>
        </is>
      </c>
      <c r="B16" s="20">
        <f>PROCV(I3;Produtos_Serviços!B:J;8;FALSO)</f>
        <v/>
      </c>
    </row>
  </sheetData>
  <mergeCells count="2">
    <mergeCell ref="A1:J1"/>
    <mergeCell ref="A13:D13"/>
  </mergeCells>
  <dataValidations count="1">
    <dataValidation sqref="J3:J20" showErrorMessage="1" showInputMessage="1" allowBlank="1" type="list">
      <formula1>"Sim,Não"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22" customWidth="1" min="7" max="7"/>
    <col width="14" customWidth="1" min="8" max="8"/>
    <col width="14" customWidth="1" min="9" max="9"/>
  </cols>
  <sheetData>
    <row r="1" ht="30" customHeight="1">
      <c r="A1" s="1" t="inlineStr">
        <is>
          <t>DASHBOARD — RESUMO DAS NOTAS FISCAIS EMITIDAS</t>
        </is>
      </c>
    </row>
    <row r="3">
      <c r="A3" s="21" t="inlineStr">
        <is>
          <t>INDICADORES GERENCIAIS</t>
        </is>
      </c>
      <c r="E3" s="16" t="inlineStr">
        <is>
          <t>FATURAMENTO POR TIPO DE OPERAÇÃO</t>
        </is>
      </c>
    </row>
    <row r="4">
      <c r="A4" s="22" t="inlineStr">
        <is>
          <t>Total de NF Emitidas</t>
        </is>
      </c>
      <c r="B4" s="23">
        <f>CONT.SE('NF-e_Emitidas'!S3:S11;"Emitida")</f>
        <v/>
      </c>
      <c r="C4" s="24" t="inlineStr">
        <is>
          <t>un</t>
        </is>
      </c>
      <c r="E4" s="2" t="inlineStr">
        <is>
          <t>Tipo</t>
        </is>
      </c>
      <c r="F4" s="2" t="inlineStr">
        <is>
          <t>Qtd NF</t>
        </is>
      </c>
      <c r="G4" s="2" t="inlineStr">
        <is>
          <t>Total (R$)</t>
        </is>
      </c>
    </row>
    <row r="5">
      <c r="A5" s="25" t="inlineStr">
        <is>
          <t>Total Faturado (R$)</t>
        </is>
      </c>
      <c r="B5" s="26">
        <f>SOMA('NF-e_Emitidas'!R3:R11)</f>
        <v/>
      </c>
      <c r="C5" s="24" t="inlineStr">
        <is>
          <t>R$</t>
        </is>
      </c>
      <c r="E5" s="5" t="inlineStr">
        <is>
          <t>Venda de mercadoria</t>
        </is>
      </c>
      <c r="F5" s="3">
        <f>CONT.SE('NF-e_Emitidas'!G3:G11;"Venda de mercadoria")</f>
        <v/>
      </c>
      <c r="G5" s="27">
        <f>SOMASE('NF-e_Emitidas'!G3:G11;"Venda de mercadoria";'NF-e_Emitidas'!R3:R11)</f>
        <v/>
      </c>
    </row>
    <row r="6">
      <c r="A6" s="22" t="inlineStr">
        <is>
          <t>Total de ICMS (R$)</t>
        </is>
      </c>
      <c r="B6" s="26">
        <f>SOMA('NF-e_Emitidas'!O3:O11)</f>
        <v/>
      </c>
      <c r="C6" s="24" t="inlineStr">
        <is>
          <t>R$</t>
        </is>
      </c>
      <c r="E6" s="13" t="inlineStr">
        <is>
          <t>Prestação de serviço</t>
        </is>
      </c>
      <c r="F6" s="11">
        <f>CONT.SE('NF-e_Emitidas'!G3:G11;"Prestação de serviço")</f>
        <v/>
      </c>
      <c r="G6" s="28">
        <f>SOMASE('NF-e_Emitidas'!G3:G11;"Prestação de serviço";'NF-e_Emitidas'!R3:R11)</f>
        <v/>
      </c>
    </row>
    <row r="7">
      <c r="A7" s="25" t="inlineStr">
        <is>
          <t>Total de ISS (R$)</t>
        </is>
      </c>
      <c r="B7" s="26">
        <f>SOMA('NF-e_Emitidas'!Q3:Q11)</f>
        <v/>
      </c>
      <c r="C7" s="24" t="inlineStr">
        <is>
          <t>R$</t>
        </is>
      </c>
      <c r="E7" s="16" t="inlineStr">
        <is>
          <t>FATURAMENTO POR UF</t>
        </is>
      </c>
    </row>
    <row r="8">
      <c r="A8" s="22" t="inlineStr">
        <is>
          <t>Ticket Médio (R$)</t>
        </is>
      </c>
      <c r="B8" s="26">
        <f>SE(CONT.SE('NF-e_Emitidas'!S3:S11;"Emitida")&gt;0;SOMA('NF-e_Emitidas'!R3:R11)/CONT.SE('NF-e_Emitidas'!S3:S11;"Emitida");0)</f>
        <v/>
      </c>
      <c r="C8" s="24" t="inlineStr">
        <is>
          <t>R$</t>
        </is>
      </c>
      <c r="E8" s="2" t="inlineStr">
        <is>
          <t>UF</t>
        </is>
      </c>
      <c r="F8" s="2" t="inlineStr">
        <is>
          <t>Qtd NF</t>
        </is>
      </c>
      <c r="G8" s="2" t="inlineStr">
        <is>
          <t>Total (R$)</t>
        </is>
      </c>
    </row>
    <row r="9">
      <c r="A9" s="25" t="inlineStr">
        <is>
          <t>NF Canceladas</t>
        </is>
      </c>
      <c r="B9" s="23">
        <f>CONT.SE('NF-e_Emitidas'!S3:S11;"Cancelada")</f>
        <v/>
      </c>
      <c r="C9" s="24" t="inlineStr">
        <is>
          <t>un</t>
        </is>
      </c>
      <c r="E9" s="3" t="inlineStr">
        <is>
          <t>SP</t>
        </is>
      </c>
      <c r="F9" s="3">
        <f>CONT.SE('NF-e_Emitidas'!F3:F11;"*SP*")</f>
        <v/>
      </c>
      <c r="G9" s="27">
        <f>SOMASE('NF-e_Emitidas'!F3:F11;"*SP*";'NF-e_Emitidas'!R3:R11)</f>
        <v/>
      </c>
    </row>
    <row r="10">
      <c r="A10" s="22" t="inlineStr">
        <is>
          <t>NF Pendentes</t>
        </is>
      </c>
      <c r="B10" s="23">
        <f>CONT.SE('NF-e_Emitidas'!S3:S11;"Pendente")</f>
        <v/>
      </c>
      <c r="C10" s="24" t="inlineStr">
        <is>
          <t>un</t>
        </is>
      </c>
      <c r="E10" s="11" t="inlineStr">
        <is>
          <t>MG</t>
        </is>
      </c>
      <c r="F10" s="11">
        <f>CONT.SE('NF-e_Emitidas'!F3:F11;"*MG*")</f>
        <v/>
      </c>
      <c r="G10" s="28">
        <f>SOMASE('NF-e_Emitidas'!F3:F11;"*MG*";'NF-e_Emitidas'!R3:R11)</f>
        <v/>
      </c>
    </row>
    <row r="11">
      <c r="A11" s="25" t="inlineStr">
        <is>
          <t>% Canceladas</t>
        </is>
      </c>
      <c r="B11" s="29">
        <f>SE(CONT.VALORES('NF-e_Emitidas'!S3:S11)&gt;0;CONT.SE('NF-e_Emitidas'!S3:S11;"Cancelada")/CONT.VALORES('NF-e_Emitidas'!S3:S11);0)</f>
        <v/>
      </c>
      <c r="C11" s="24" t="inlineStr">
        <is>
          <t>%</t>
        </is>
      </c>
      <c r="E11" s="3" t="inlineStr">
        <is>
          <t>PR</t>
        </is>
      </c>
      <c r="F11" s="3">
        <f>CONT.SE('NF-e_Emitidas'!F3:F11;"*PR*")</f>
        <v/>
      </c>
      <c r="G11" s="27">
        <f>SOMASE('NF-e_Emitidas'!F3:F11;"*PR*";'NF-e_Emitidas'!R3:R11)</f>
        <v/>
      </c>
    </row>
    <row r="12">
      <c r="E12" s="11" t="inlineStr">
        <is>
          <t>RJ</t>
        </is>
      </c>
      <c r="F12" s="11">
        <f>CONT.SE('NF-e_Emitidas'!F3:F11;"*RJ*")</f>
        <v/>
      </c>
      <c r="G12" s="28">
        <f>SOMASE('NF-e_Emitidas'!F3:F11;"*RJ*";'NF-e_Emitidas'!R3:R11)</f>
        <v/>
      </c>
    </row>
    <row r="13">
      <c r="E13" s="3" t="inlineStr">
        <is>
          <t>BA</t>
        </is>
      </c>
      <c r="F13" s="3">
        <f>CONT.SE('NF-e_Emitidas'!F3:F11;"*BA*")</f>
        <v/>
      </c>
      <c r="G13" s="27">
        <f>SOMASE('NF-e_Emitidas'!F3:F11;"*BA*";'NF-e_Emitidas'!R3:R11)</f>
        <v/>
      </c>
    </row>
    <row r="14">
      <c r="E14" s="11" t="inlineStr">
        <is>
          <t>PE</t>
        </is>
      </c>
      <c r="F14" s="11">
        <f>CONT.SE('NF-e_Emitidas'!F3:F11;"*PE*")</f>
        <v/>
      </c>
      <c r="G14" s="28">
        <f>SOMASE('NF-e_Emitidas'!F3:F11;"*PE*";'NF-e_Emitidas'!R3:R11)</f>
        <v/>
      </c>
    </row>
    <row r="15">
      <c r="E15" s="3" t="inlineStr">
        <is>
          <t>RS</t>
        </is>
      </c>
      <c r="F15" s="3">
        <f>CONT.SE('NF-e_Emitidas'!F3:F11;"*RS*")</f>
        <v/>
      </c>
      <c r="G15" s="27">
        <f>SOMASE('NF-e_Emitidas'!F3:F11;"*RS*";'NF-e_Emitidas'!R3:R11)</f>
        <v/>
      </c>
    </row>
    <row r="16">
      <c r="E16" s="11" t="inlineStr">
        <is>
          <t>CE</t>
        </is>
      </c>
      <c r="F16" s="11">
        <f>CONT.SE('NF-e_Emitidas'!F3:F11;"*CE*")</f>
        <v/>
      </c>
      <c r="G16" s="28">
        <f>SOMASE('NF-e_Emitidas'!F3:F11;"*CE*";'NF-e_Emitidas'!R3:R11)</f>
        <v/>
      </c>
    </row>
    <row r="18">
      <c r="A18" s="16" t="inlineStr">
        <is>
          <t>SÉRIE TEMPORAL — FATURAMENTO MENSAL SIMULADO</t>
        </is>
      </c>
    </row>
    <row r="19">
      <c r="A19" s="2" t="inlineStr">
        <is>
          <t>Mês</t>
        </is>
      </c>
      <c r="B19" s="2" t="inlineStr">
        <is>
          <t>Faturamento (R$)</t>
        </is>
      </c>
      <c r="C19" s="2" t="inlineStr">
        <is>
          <t>ICMS (R$)</t>
        </is>
      </c>
      <c r="D19" s="2" t="inlineStr">
        <is>
          <t>ISS (R$)</t>
        </is>
      </c>
    </row>
    <row r="20">
      <c r="A20" s="11" t="inlineStr">
        <is>
          <t>Jan/2025</t>
        </is>
      </c>
      <c r="B20" s="28" t="n">
        <v>12500</v>
      </c>
      <c r="C20" s="28" t="n">
        <v>900</v>
      </c>
      <c r="D20" s="28" t="n">
        <v>325</v>
      </c>
    </row>
    <row r="21">
      <c r="A21" s="3" t="inlineStr">
        <is>
          <t>Fev/2025</t>
        </is>
      </c>
      <c r="B21" s="27" t="n">
        <v>18200</v>
      </c>
      <c r="C21" s="27" t="n">
        <v>1344</v>
      </c>
      <c r="D21" s="27" t="n">
        <v>437.5</v>
      </c>
    </row>
    <row r="22">
      <c r="A22" s="11" t="inlineStr">
        <is>
          <t>Mar/2025</t>
        </is>
      </c>
      <c r="B22" s="28" t="n">
        <v>15750</v>
      </c>
      <c r="C22" s="28" t="n">
        <v>1134</v>
      </c>
      <c r="D22" s="28" t="n">
        <v>375</v>
      </c>
    </row>
    <row r="23">
      <c r="A23" s="3" t="inlineStr">
        <is>
          <t>Abr/2025</t>
        </is>
      </c>
      <c r="B23" s="27" t="n">
        <v>22300</v>
      </c>
      <c r="C23" s="27" t="n">
        <v>1476</v>
      </c>
      <c r="D23" s="27" t="n">
        <v>612</v>
      </c>
    </row>
    <row r="24">
      <c r="A24" s="11" t="inlineStr">
        <is>
          <t>Mai/2025</t>
        </is>
      </c>
      <c r="B24" s="28" t="n">
        <v>19800</v>
      </c>
      <c r="C24" s="28" t="n">
        <v>1188</v>
      </c>
      <c r="D24" s="28" t="n">
        <v>540</v>
      </c>
    </row>
    <row r="25">
      <c r="A25" s="3" t="inlineStr">
        <is>
          <t>Jun/2025</t>
        </is>
      </c>
      <c r="B25" s="27" t="n">
        <v>25400</v>
      </c>
      <c r="C25" s="27" t="n">
        <v>1728</v>
      </c>
      <c r="D25" s="27" t="n">
        <v>675</v>
      </c>
    </row>
    <row r="26">
      <c r="A26" s="11" t="inlineStr">
        <is>
          <t>Jul/2025</t>
        </is>
      </c>
      <c r="B26" s="28" t="n">
        <v>21600</v>
      </c>
      <c r="C26" s="28" t="n">
        <v>1512</v>
      </c>
      <c r="D26" s="28" t="n">
        <v>540</v>
      </c>
    </row>
    <row r="27">
      <c r="A27" s="3" t="inlineStr">
        <is>
          <t>Ago/2025</t>
        </is>
      </c>
      <c r="B27" s="27" t="n">
        <v>28900</v>
      </c>
      <c r="C27" s="27" t="n">
        <v>2016</v>
      </c>
      <c r="D27" s="27" t="n">
        <v>775</v>
      </c>
    </row>
    <row r="28">
      <c r="A28" s="11" t="inlineStr">
        <is>
          <t>Set/2025</t>
        </is>
      </c>
      <c r="B28" s="28" t="n">
        <v>24500</v>
      </c>
      <c r="C28" s="28" t="n">
        <v>1764</v>
      </c>
      <c r="D28" s="28" t="n">
        <v>650</v>
      </c>
    </row>
  </sheetData>
  <mergeCells count="5">
    <mergeCell ref="A1:L1"/>
    <mergeCell ref="A3:C3"/>
    <mergeCell ref="E3:G3"/>
    <mergeCell ref="E7:G7"/>
    <mergeCell ref="A18:E18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8"/>
  <sheetViews>
    <sheetView workbookViewId="0">
      <selection activeCell="A1" sqref="A1"/>
    </sheetView>
  </sheetViews>
  <sheetFormatPr baseColWidth="8" defaultRowHeight="15"/>
  <cols>
    <col width="8" customWidth="1" min="1" max="1"/>
    <col width="60" customWidth="1" min="2" max="2"/>
    <col width="40" customWidth="1" min="3" max="3"/>
  </cols>
  <sheetData>
    <row r="1" ht="30" customHeight="1">
      <c r="A1" s="1" t="inlineStr">
        <is>
          <t>INSTRUÇÕES DE USO — MODELO DE NOTA FISCAL ELETRÔNICA</t>
        </is>
      </c>
    </row>
    <row r="2" ht="18" customHeight="1">
      <c r="A2" s="21" t="inlineStr">
        <is>
          <t>VISÃO GERAL DO MODELO</t>
        </is>
      </c>
    </row>
    <row r="3" ht="18" customHeight="1">
      <c r="A3" s="30" t="inlineStr"/>
      <c r="B3" s="31" t="inlineStr">
        <is>
          <t>Este modelo simula a emissão e controle de Notas Fiscais Eletrônicas (NF-e) para empresas do Simples Nacional, MEI e Regime Normal. O arquivo contém 4 abas com funções específicas.</t>
        </is>
      </c>
    </row>
    <row r="4" ht="8" customHeight="1"/>
    <row r="5" ht="18" customHeight="1">
      <c r="A5" s="21" t="inlineStr">
        <is>
          <t>ABA 1 — NF-e_Emitidas</t>
        </is>
      </c>
    </row>
    <row r="6" ht="18" customHeight="1">
      <c r="A6" s="32" t="inlineStr">
        <is>
          <t>●</t>
        </is>
      </c>
      <c r="B6" s="33" t="inlineStr">
        <is>
          <t>Esta é a aba principal. Registre cada nota fiscal em uma linha.</t>
        </is>
      </c>
    </row>
    <row r="7" ht="18" customHeight="1">
      <c r="A7" s="30" t="inlineStr">
        <is>
          <t>●</t>
        </is>
      </c>
      <c r="B7" s="31" t="inlineStr">
        <is>
          <t>Campos de entrada (fundo AMARELO CLARO): Nº NF, Série, Data, Cliente, CPF/CNPJ, Cidade/UF, Tipo, CFOP, Item/Serviço, Quantidade, Valor Unitário, Desconto, Alíquota ICMS (%), ISS (%), Status e Observações.</t>
        </is>
      </c>
    </row>
    <row r="8" ht="18" customHeight="1">
      <c r="A8" s="32" t="inlineStr">
        <is>
          <t>●</t>
        </is>
      </c>
      <c r="B8" s="33" t="inlineStr">
        <is>
          <t>Campos automáticos (fundo VERDE CLARO): Base de Cálculo, Valor ICMS, Valor ISS, Valor Total — calculados por fórmula automaticamente.</t>
        </is>
      </c>
    </row>
    <row r="9" ht="18" customHeight="1">
      <c r="A9" s="30" t="inlineStr">
        <is>
          <t>●</t>
        </is>
      </c>
      <c r="B9" s="31" t="inlineStr">
        <is>
          <t>Base de Cálculo = Quantidade × Valor Unitário − Desconto</t>
        </is>
      </c>
    </row>
    <row r="10" ht="18" customHeight="1">
      <c r="A10" s="32" t="inlineStr">
        <is>
          <t>●</t>
        </is>
      </c>
      <c r="B10" s="33" t="inlineStr">
        <is>
          <t>Valor ICMS = aplicado SE o tipo for 'Venda de mercadoria'</t>
        </is>
      </c>
    </row>
    <row r="11" ht="18" customHeight="1">
      <c r="A11" s="30" t="inlineStr">
        <is>
          <t>●</t>
        </is>
      </c>
      <c r="B11" s="31" t="inlineStr">
        <is>
          <t>Valor ISS = aplicado SE o tipo for 'Prestação de serviço'</t>
        </is>
      </c>
    </row>
    <row r="12" ht="18" customHeight="1">
      <c r="A12" s="32" t="inlineStr">
        <is>
          <t>●</t>
        </is>
      </c>
      <c r="B12" s="33" t="inlineStr">
        <is>
          <t>Status: selecione via lista suspensa — Emitida, Pendente ou Cancelada.</t>
        </is>
      </c>
    </row>
    <row r="13" ht="18" customHeight="1">
      <c r="A13" s="30" t="inlineStr">
        <is>
          <t>●</t>
        </is>
      </c>
      <c r="B13" s="31" t="inlineStr">
        <is>
          <t>Notas com status 'Cancelada' ficam destacadas em VERMELHO automaticamente.</t>
        </is>
      </c>
    </row>
    <row r="14" ht="8" customHeight="1"/>
    <row r="15" ht="18" customHeight="1">
      <c r="A15" s="21" t="inlineStr">
        <is>
          <t>ABA 2 — Produtos_Serviços</t>
        </is>
      </c>
    </row>
    <row r="16" ht="18" customHeight="1">
      <c r="A16" s="32" t="inlineStr">
        <is>
          <t>●</t>
        </is>
      </c>
      <c r="B16" s="33" t="inlineStr">
        <is>
          <t>Cadastro de itens e serviços com preços e alíquotas padrão.</t>
        </is>
      </c>
    </row>
    <row r="17" ht="18" customHeight="1">
      <c r="A17" s="30" t="inlineStr">
        <is>
          <t>●</t>
        </is>
      </c>
      <c r="B17" s="31" t="inlineStr">
        <is>
          <t>Use PROCV para buscar automaticamente valores e alíquotas na aba NF-e_Emitidas.</t>
        </is>
      </c>
    </row>
    <row r="18" ht="18" customHeight="1">
      <c r="A18" s="32" t="inlineStr">
        <is>
          <t>●</t>
        </is>
      </c>
      <c r="B18" s="33" t="inlineStr">
        <is>
          <t>Exemplo de PROCV: =PROCV(I3;Produtos_Serviços!B:J;6;FALSO)</t>
        </is>
      </c>
    </row>
    <row r="19" ht="18" customHeight="1">
      <c r="A19" s="30" t="inlineStr">
        <is>
          <t>●</t>
        </is>
      </c>
      <c r="B19" s="31" t="inlineStr">
        <is>
          <t>Mantenha o campo 'Ativo' como 'Sim' para itens disponíveis.</t>
        </is>
      </c>
    </row>
    <row r="20" ht="8" customHeight="1"/>
    <row r="21" ht="18" customHeight="1">
      <c r="A21" s="21" t="inlineStr">
        <is>
          <t>ABA 3 — Resumo_Dashboard</t>
        </is>
      </c>
    </row>
    <row r="22" ht="18" customHeight="1">
      <c r="A22" s="32" t="inlineStr">
        <is>
          <t>●</t>
        </is>
      </c>
      <c r="B22" s="33" t="inlineStr">
        <is>
          <t>Painel gerencial com KPIs, totais por tipo de operação e por UF.</t>
        </is>
      </c>
    </row>
    <row r="23" ht="18" customHeight="1">
      <c r="A23" s="30" t="inlineStr">
        <is>
          <t>●</t>
        </is>
      </c>
      <c r="B23" s="31" t="inlineStr">
        <is>
          <t>Gráficos: Colunas (faturamento mensal), Pizza (mercadoria x serviço), Barras (por UF).</t>
        </is>
      </c>
    </row>
    <row r="24" ht="18" customHeight="1">
      <c r="A24" s="32" t="inlineStr">
        <is>
          <t>●</t>
        </is>
      </c>
      <c r="B24" s="33" t="inlineStr">
        <is>
          <t>Os indicadores são calculados automaticamente com base nos dados da aba NF-e_Emitidas.</t>
        </is>
      </c>
    </row>
    <row r="25" ht="8" customHeight="1"/>
    <row r="26" ht="18" customHeight="1">
      <c r="A26" s="21" t="inlineStr">
        <is>
          <t>LEGENDA DE CORES</t>
        </is>
      </c>
    </row>
    <row r="27" ht="18" customHeight="1">
      <c r="A27" s="30" t="inlineStr"/>
      <c r="B27" s="31" t="inlineStr">
        <is>
          <t>Cabeçalho (#0F766E — verde escuro): títulos principais das colunas.</t>
        </is>
      </c>
    </row>
    <row r="28" ht="18" customHeight="1">
      <c r="A28" s="32" t="inlineStr"/>
      <c r="B28" s="33" t="inlineStr">
        <is>
          <t>Subcabeçalho (#14B8A6 — verde médio): agrupamentos e subtítulos.</t>
        </is>
      </c>
    </row>
    <row r="29" ht="18" customHeight="1">
      <c r="A29" s="30" t="inlineStr"/>
      <c r="B29" s="31" t="inlineStr">
        <is>
          <t>Células de entrada (#FFFBEB — amarelo claro): dados que devem ser digitados pelo usuário.</t>
        </is>
      </c>
    </row>
    <row r="30" ht="18" customHeight="1">
      <c r="A30" s="32" t="inlineStr"/>
      <c r="B30" s="33" t="inlineStr">
        <is>
          <t>Linhas alternadas (#F0FDFA / branco): facilita a leitura dos registros.</t>
        </is>
      </c>
    </row>
    <row r="31" ht="18" customHeight="1">
      <c r="A31" s="30" t="inlineStr"/>
      <c r="B31" s="31" t="inlineStr">
        <is>
          <t>Verde (#22C55E): valores positivos e totais favoráveis.</t>
        </is>
      </c>
    </row>
    <row r="32" ht="18" customHeight="1">
      <c r="A32" s="32" t="inlineStr"/>
      <c r="B32" s="33" t="inlineStr">
        <is>
          <t>Vermelho (#DC2626): alertas, notas canceladas ou valores negativos.</t>
        </is>
      </c>
    </row>
    <row r="33" ht="8" customHeight="1"/>
    <row r="34" ht="18" customHeight="1">
      <c r="A34" s="21" t="inlineStr">
        <is>
          <t>OBSERVAÇÕES IMPORTANTES</t>
        </is>
      </c>
    </row>
    <row r="35" ht="18" customHeight="1">
      <c r="A35" s="30" t="inlineStr">
        <is>
          <t>●</t>
        </is>
      </c>
      <c r="B35" s="31" t="inlineStr">
        <is>
          <t>Não altere as colunas de fórmulas (Base de Cálculo, Valor ICMS, Valor ISS, Valor Total).</t>
        </is>
      </c>
    </row>
    <row r="36" ht="18" customHeight="1">
      <c r="A36" s="32" t="inlineStr">
        <is>
          <t>●</t>
        </is>
      </c>
      <c r="B36" s="33" t="inlineStr">
        <is>
          <t>Para adicionar novas notas, insira linhas abaixo da última linha de dados e copie as fórmulas.</t>
        </is>
      </c>
    </row>
    <row r="37" ht="18" customHeight="1">
      <c r="A37" s="30" t="inlineStr">
        <is>
          <t>●</t>
        </is>
      </c>
      <c r="B37" s="31" t="inlineStr">
        <is>
          <t>As fórmulas usam ponto-e-vírgula (;) como separador, padrão brasileiro (pt-BR).</t>
        </is>
      </c>
    </row>
    <row r="38" ht="18" customHeight="1">
      <c r="A38" s="32" t="inlineStr">
        <is>
          <t>●</t>
        </is>
      </c>
      <c r="B38" s="33" t="inlineStr">
        <is>
          <t>Este modelo é para fins educativos e de gestão interna — não substitui sistemas homologados pela SEFAZ.</t>
        </is>
      </c>
    </row>
  </sheetData>
  <mergeCells count="38">
    <mergeCell ref="A1:C1"/>
    <mergeCell ref="A2:C2"/>
    <mergeCell ref="B3:C3"/>
    <mergeCell ref="A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15:C15"/>
    <mergeCell ref="B16:C16"/>
    <mergeCell ref="B17:C17"/>
    <mergeCell ref="B18:C18"/>
    <mergeCell ref="B19:C19"/>
    <mergeCell ref="A20:C20"/>
    <mergeCell ref="A21:C21"/>
    <mergeCell ref="B22:C22"/>
    <mergeCell ref="B23:C23"/>
    <mergeCell ref="B24:C24"/>
    <mergeCell ref="A25:C25"/>
    <mergeCell ref="A26:C26"/>
    <mergeCell ref="B27:C27"/>
    <mergeCell ref="B28:C28"/>
    <mergeCell ref="B29:C29"/>
    <mergeCell ref="B30:C30"/>
    <mergeCell ref="B31:C31"/>
    <mergeCell ref="B32:C32"/>
    <mergeCell ref="A33:C33"/>
    <mergeCell ref="A34:C34"/>
    <mergeCell ref="B35:C35"/>
    <mergeCell ref="B36:C36"/>
    <mergeCell ref="B37:C37"/>
    <mergeCell ref="B38:C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2026-05-24T11:33:14Z</dcterms:created>
  <dcterms:modified xmlns:dcterms="http://purl.org/dc/terms/" xmlns:xsi="http://www.w3.org/2001/XMLSchema-instance" xsi:type="dcterms:W3CDTF">2026-05-24T11:33:14Z</dcterms:modified>
</cp:coreProperties>
</file>