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ncionários" sheetId="1" state="visible" r:id="rId1"/>
    <sheet xmlns:r="http://schemas.openxmlformats.org/officeDocument/2006/relationships" name="Holerite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MM/YYYY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4" fontId="3" fillId="4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4" fontId="3" fillId="5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0" fontId="0" fillId="2" borderId="1" pivotButton="0" quotePrefix="0" xfId="0"/>
    <xf numFmtId="4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/>
    </xf>
    <xf numFmtId="4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  <sz val="10"/>
      </font>
      <fill>
        <patternFill patternType="solid">
          <fgColor rgb="00FEE2E2"/>
        </patternFill>
      </fill>
    </dxf>
    <dxf>
      <font>
        <b val="1"/>
        <color rgb="00166534"/>
        <sz val="10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Bruto vs Líquido por Funcionário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'Dashboard'!I2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'Dashboard'!$G$3:$G$11</f>
            </numRef>
          </cat>
          <val>
            <numRef>
              <f>'Dashboard'!$I$3:$I$11</f>
            </numRef>
          </val>
        </ser>
        <ser>
          <idx val="1"/>
          <order val="1"/>
          <tx>
            <strRef>
              <f>'Dashboard'!L2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'Dashboard'!$G$3:$G$11</f>
            </numRef>
          </cat>
          <val>
            <numRef>
              <f>'Dashboard'!$L$3:$L$11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Funcionário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Composição dos Descontos (INSS / IRRF)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'Dashboard'!J2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'Dashboard'!$G$3:$G$11</f>
            </numRef>
          </cat>
          <val>
            <numRef>
              <f>'Dashboard'!$J$3:$J$11</f>
            </numRef>
          </val>
        </ser>
        <ser>
          <idx val="1"/>
          <order val="1"/>
          <tx>
            <strRef>
              <f>'Dashboard'!K2</f>
            </strRef>
          </tx>
          <spPr>
            <a:solidFill xmlns:a="http://schemas.openxmlformats.org/drawingml/2006/main">
              <a:srgbClr val="F97316"/>
            </a:solidFill>
            <a:ln xmlns:a="http://schemas.openxmlformats.org/drawingml/2006/main">
              <a:prstDash val="solid"/>
            </a:ln>
          </spPr>
          <cat>
            <numRef>
              <f>'Dashboard'!$G$3:$G$11</f>
            </numRef>
          </cat>
          <val>
            <numRef>
              <f>'Dashboard'!$K$3:$K$11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1"/>
  <sheetViews>
    <sheetView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16" customWidth="1" min="3" max="3"/>
    <col width="20" customWidth="1" min="4" max="4"/>
    <col width="16" customWidth="1" min="5" max="5"/>
    <col width="18" customWidth="1" min="6" max="6"/>
    <col width="5" customWidth="1" min="7" max="7"/>
    <col width="14" customWidth="1" min="8" max="8"/>
    <col width="6" customWidth="1" min="9" max="9"/>
    <col width="12" customWidth="1" min="10" max="10"/>
    <col width="8" customWidth="1" min="11" max="11"/>
    <col width="12" customWidth="1" min="12" max="12"/>
    <col width="13" customWidth="1" min="13" max="13"/>
    <col width="16" customWidth="1" min="14" max="14"/>
    <col width="14" customWidth="1" min="15" max="15"/>
    <col width="16" customWidth="1" min="16" max="16"/>
    <col width="16" customWidth="1" min="17" max="17"/>
    <col width="14" customWidth="1" min="18" max="18"/>
  </cols>
  <sheetData>
    <row r="1" ht="28" customHeight="1">
      <c r="A1" s="1" t="inlineStr">
        <is>
          <t>CADASTRO DE FUNCIONÁRIOS — PARÂMETROS DE FOLHA</t>
        </is>
      </c>
    </row>
    <row r="2" ht="36" customHeight="1">
      <c r="A2" s="2" t="inlineStr">
        <is>
          <t>Matrícula</t>
        </is>
      </c>
      <c r="B2" s="2" t="inlineStr">
        <is>
          <t>Nome</t>
        </is>
      </c>
      <c r="C2" s="2" t="inlineStr">
        <is>
          <t>CPF</t>
        </is>
      </c>
      <c r="D2" s="2" t="inlineStr">
        <is>
          <t>Cargo</t>
        </is>
      </c>
      <c r="E2" s="2" t="inlineStr">
        <is>
          <t>Departamento</t>
        </is>
      </c>
      <c r="F2" s="2" t="inlineStr">
        <is>
          <t>Cidade</t>
        </is>
      </c>
      <c r="G2" s="2" t="inlineStr">
        <is>
          <t>UF</t>
        </is>
      </c>
      <c r="H2" s="2" t="inlineStr">
        <is>
          <t>Data de Admissão</t>
        </is>
      </c>
      <c r="I2" s="2" t="inlineStr">
        <is>
          <t>Regime</t>
        </is>
      </c>
      <c r="J2" s="2" t="inlineStr">
        <is>
          <t>Banco</t>
        </is>
      </c>
      <c r="K2" s="2" t="inlineStr">
        <is>
          <t>Agência</t>
        </is>
      </c>
      <c r="L2" s="2" t="inlineStr">
        <is>
          <t>Conta</t>
        </is>
      </c>
      <c r="M2" s="2" t="inlineStr">
        <is>
          <t>Tipo de Conta</t>
        </is>
      </c>
      <c r="N2" s="2" t="inlineStr">
        <is>
          <t>Salário Base (R$)</t>
        </is>
      </c>
      <c r="O2" s="2" t="inlineStr">
        <is>
          <t>Vale-Transporte (%)</t>
        </is>
      </c>
      <c r="P2" s="2" t="inlineStr">
        <is>
          <t>Vale-Refeição (R$)</t>
        </is>
      </c>
      <c r="Q2" s="2" t="inlineStr">
        <is>
          <t>Plano de Saúde (R$)</t>
        </is>
      </c>
      <c r="R2" s="2" t="inlineStr">
        <is>
          <t>Tempo de Casa (anos)</t>
        </is>
      </c>
    </row>
    <row r="3">
      <c r="A3" s="3" t="inlineStr">
        <is>
          <t>M001</t>
        </is>
      </c>
      <c r="B3" s="3" t="inlineStr">
        <is>
          <t>Ana Paula Ribeiro</t>
        </is>
      </c>
      <c r="C3" s="3" t="inlineStr">
        <is>
          <t>034.567.891-00</t>
        </is>
      </c>
      <c r="D3" s="3" t="inlineStr">
        <is>
          <t>Analista Financeiro</t>
        </is>
      </c>
      <c r="E3" s="3" t="inlineStr">
        <is>
          <t>Financeiro</t>
        </is>
      </c>
      <c r="F3" s="3" t="inlineStr">
        <is>
          <t>São Paulo</t>
        </is>
      </c>
      <c r="G3" s="3" t="inlineStr">
        <is>
          <t>SP</t>
        </is>
      </c>
      <c r="H3" s="4" t="n">
        <v>44267</v>
      </c>
      <c r="I3" s="3" t="inlineStr">
        <is>
          <t>CLT</t>
        </is>
      </c>
      <c r="J3" s="3" t="inlineStr">
        <is>
          <t>Itaú</t>
        </is>
      </c>
      <c r="K3" s="3" t="inlineStr">
        <is>
          <t>0341</t>
        </is>
      </c>
      <c r="L3" s="3" t="inlineStr">
        <is>
          <t>12345-6</t>
        </is>
      </c>
      <c r="M3" s="3" t="inlineStr">
        <is>
          <t>Corrente</t>
        </is>
      </c>
      <c r="N3" s="5" t="n">
        <v>6500</v>
      </c>
      <c r="O3" s="6" t="n">
        <v>0.06</v>
      </c>
      <c r="P3" s="5" t="n">
        <v>750</v>
      </c>
      <c r="Q3" s="5" t="n">
        <v>320</v>
      </c>
      <c r="R3" s="3">
        <f>DATEDIF(H3,TODAY(),"Y")</f>
        <v/>
      </c>
    </row>
    <row r="4">
      <c r="A4" s="7" t="inlineStr">
        <is>
          <t>M002</t>
        </is>
      </c>
      <c r="B4" s="7" t="inlineStr">
        <is>
          <t>Bruno Henrique Souza</t>
        </is>
      </c>
      <c r="C4" s="7" t="inlineStr">
        <is>
          <t>045.678.912-11</t>
        </is>
      </c>
      <c r="D4" s="7" t="inlineStr">
        <is>
          <t>Assistente Adm.</t>
        </is>
      </c>
      <c r="E4" s="7" t="inlineStr">
        <is>
          <t>Administrativo</t>
        </is>
      </c>
      <c r="F4" s="7" t="inlineStr">
        <is>
          <t>Campinas</t>
        </is>
      </c>
      <c r="G4" s="7" t="inlineStr">
        <is>
          <t>SP</t>
        </is>
      </c>
      <c r="H4" s="8" t="n">
        <v>44778</v>
      </c>
      <c r="I4" s="7" t="inlineStr">
        <is>
          <t>CLT</t>
        </is>
      </c>
      <c r="J4" s="7" t="inlineStr">
        <is>
          <t>Bradesco</t>
        </is>
      </c>
      <c r="K4" s="7" t="inlineStr">
        <is>
          <t>1234</t>
        </is>
      </c>
      <c r="L4" s="7" t="inlineStr">
        <is>
          <t>98765-4</t>
        </is>
      </c>
      <c r="M4" s="7" t="inlineStr">
        <is>
          <t>Corrente</t>
        </is>
      </c>
      <c r="N4" s="5" t="n">
        <v>3200</v>
      </c>
      <c r="O4" s="6" t="n">
        <v>0.06</v>
      </c>
      <c r="P4" s="5" t="n">
        <v>550</v>
      </c>
      <c r="Q4" s="5" t="n">
        <v>250</v>
      </c>
      <c r="R4" s="7">
        <f>DATEDIF(H4,TODAY(),"Y")</f>
        <v/>
      </c>
    </row>
    <row r="5">
      <c r="A5" s="3" t="inlineStr">
        <is>
          <t>M003</t>
        </is>
      </c>
      <c r="B5" s="3" t="inlineStr">
        <is>
          <t>Carla Mendes Lima</t>
        </is>
      </c>
      <c r="C5" s="3" t="inlineStr">
        <is>
          <t>056.789.123-22</t>
        </is>
      </c>
      <c r="D5" s="3" t="inlineStr">
        <is>
          <t>Vendedora</t>
        </is>
      </c>
      <c r="E5" s="3" t="inlineStr">
        <is>
          <t>Comercial</t>
        </is>
      </c>
      <c r="F5" s="3" t="inlineStr">
        <is>
          <t>Rio de Janeiro</t>
        </is>
      </c>
      <c r="G5" s="3" t="inlineStr">
        <is>
          <t>RJ</t>
        </is>
      </c>
      <c r="H5" s="4" t="n">
        <v>43840</v>
      </c>
      <c r="I5" s="3" t="inlineStr">
        <is>
          <t>CLT</t>
        </is>
      </c>
      <c r="J5" s="3" t="inlineStr">
        <is>
          <t>Caixa</t>
        </is>
      </c>
      <c r="K5" s="3" t="inlineStr">
        <is>
          <t>0021</t>
        </is>
      </c>
      <c r="L5" s="3" t="inlineStr">
        <is>
          <t>55543-2</t>
        </is>
      </c>
      <c r="M5" s="3" t="inlineStr">
        <is>
          <t>Poupança</t>
        </is>
      </c>
      <c r="N5" s="5" t="n">
        <v>2800</v>
      </c>
      <c r="O5" s="6" t="n">
        <v>0.06</v>
      </c>
      <c r="P5" s="5" t="n">
        <v>600</v>
      </c>
      <c r="Q5" s="5" t="n">
        <v>200</v>
      </c>
      <c r="R5" s="3">
        <f>DATEDIF(H5,TODAY(),"Y")</f>
        <v/>
      </c>
    </row>
    <row r="6">
      <c r="A6" s="7" t="inlineStr">
        <is>
          <t>M004</t>
        </is>
      </c>
      <c r="B6" s="7" t="inlineStr">
        <is>
          <t>Diego Alves Santos</t>
        </is>
      </c>
      <c r="C6" s="7" t="inlineStr">
        <is>
          <t>067.890.234-33</t>
        </is>
      </c>
      <c r="D6" s="7" t="inlineStr">
        <is>
          <t>Desenvolvedor</t>
        </is>
      </c>
      <c r="E6" s="7" t="inlineStr">
        <is>
          <t>TI</t>
        </is>
      </c>
      <c r="F6" s="7" t="inlineStr">
        <is>
          <t>Belo Horizonte</t>
        </is>
      </c>
      <c r="G6" s="7" t="inlineStr">
        <is>
          <t>MG</t>
        </is>
      </c>
      <c r="H6" s="8" t="n">
        <v>43726</v>
      </c>
      <c r="I6" s="7" t="inlineStr">
        <is>
          <t>CLT</t>
        </is>
      </c>
      <c r="J6" s="7" t="inlineStr">
        <is>
          <t>Nubank</t>
        </is>
      </c>
      <c r="K6" s="7" t="inlineStr"/>
      <c r="L6" s="7" t="inlineStr">
        <is>
          <t>321456-7</t>
        </is>
      </c>
      <c r="M6" s="7" t="inlineStr">
        <is>
          <t>Digital</t>
        </is>
      </c>
      <c r="N6" s="5" t="n">
        <v>8900</v>
      </c>
      <c r="O6" s="6" t="n">
        <v>0.06</v>
      </c>
      <c r="P6" s="5" t="n">
        <v>800</v>
      </c>
      <c r="Q6" s="5" t="n">
        <v>380</v>
      </c>
      <c r="R6" s="7">
        <f>DATEDIF(H6,TODAY(),"Y")</f>
        <v/>
      </c>
    </row>
    <row r="7">
      <c r="A7" s="3" t="inlineStr">
        <is>
          <t>M005</t>
        </is>
      </c>
      <c r="B7" s="3" t="inlineStr">
        <is>
          <t>Eduardo Nogueira Costa</t>
        </is>
      </c>
      <c r="C7" s="3" t="inlineStr">
        <is>
          <t>078.901.345-44</t>
        </is>
      </c>
      <c r="D7" s="3" t="inlineStr">
        <is>
          <t>Supervisor</t>
        </is>
      </c>
      <c r="E7" s="3" t="inlineStr">
        <is>
          <t>Operações</t>
        </is>
      </c>
      <c r="F7" s="3" t="inlineStr">
        <is>
          <t>Curitiba</t>
        </is>
      </c>
      <c r="G7" s="3" t="inlineStr">
        <is>
          <t>PR</t>
        </is>
      </c>
      <c r="H7" s="4" t="n">
        <v>43153</v>
      </c>
      <c r="I7" s="3" t="inlineStr">
        <is>
          <t>CLT</t>
        </is>
      </c>
      <c r="J7" s="3" t="inlineStr">
        <is>
          <t>Santander</t>
        </is>
      </c>
      <c r="K7" s="3" t="inlineStr">
        <is>
          <t>0456</t>
        </is>
      </c>
      <c r="L7" s="3" t="inlineStr">
        <is>
          <t>67890-1</t>
        </is>
      </c>
      <c r="M7" s="3" t="inlineStr">
        <is>
          <t>Corrente</t>
        </is>
      </c>
      <c r="N7" s="5" t="n">
        <v>7400</v>
      </c>
      <c r="O7" s="6" t="n">
        <v>0.06</v>
      </c>
      <c r="P7" s="5" t="n">
        <v>750</v>
      </c>
      <c r="Q7" s="5" t="n">
        <v>350</v>
      </c>
      <c r="R7" s="3">
        <f>DATEDIF(H7,TODAY(),"Y")</f>
        <v/>
      </c>
    </row>
    <row r="8">
      <c r="A8" s="7" t="inlineStr">
        <is>
          <t>M006</t>
        </is>
      </c>
      <c r="B8" s="7" t="inlineStr">
        <is>
          <t>Fernanda Oliveira Rocha</t>
        </is>
      </c>
      <c r="C8" s="7" t="inlineStr">
        <is>
          <t>089.012.456-55</t>
        </is>
      </c>
      <c r="D8" s="7" t="inlineStr">
        <is>
          <t>Analista RH</t>
        </is>
      </c>
      <c r="E8" s="7" t="inlineStr">
        <is>
          <t>RH</t>
        </is>
      </c>
      <c r="F8" s="7" t="inlineStr">
        <is>
          <t>Salvador</t>
        </is>
      </c>
      <c r="G8" s="7" t="inlineStr">
        <is>
          <t>BA</t>
        </is>
      </c>
      <c r="H8" s="8" t="n">
        <v>45244</v>
      </c>
      <c r="I8" s="7" t="inlineStr">
        <is>
          <t>CLT</t>
        </is>
      </c>
      <c r="J8" s="7" t="inlineStr">
        <is>
          <t>Inter</t>
        </is>
      </c>
      <c r="K8" s="7" t="inlineStr"/>
      <c r="L8" s="7" t="inlineStr">
        <is>
          <t>234567-8</t>
        </is>
      </c>
      <c r="M8" s="7" t="inlineStr">
        <is>
          <t>Digital</t>
        </is>
      </c>
      <c r="N8" s="5" t="n">
        <v>4100</v>
      </c>
      <c r="O8" s="6" t="n">
        <v>0.06</v>
      </c>
      <c r="P8" s="5" t="n">
        <v>650</v>
      </c>
      <c r="Q8" s="5" t="n">
        <v>280</v>
      </c>
      <c r="R8" s="7">
        <f>DATEDIF(H8,TODAY(),"Y")</f>
        <v/>
      </c>
    </row>
    <row r="9">
      <c r="A9" s="3" t="inlineStr">
        <is>
          <t>M007</t>
        </is>
      </c>
      <c r="B9" s="3" t="inlineStr">
        <is>
          <t>Gabriel Pereira Martins</t>
        </is>
      </c>
      <c r="C9" s="3" t="inlineStr">
        <is>
          <t>090.123.567-66</t>
        </is>
      </c>
      <c r="D9" s="3" t="inlineStr">
        <is>
          <t>Operador</t>
        </is>
      </c>
      <c r="E9" s="3" t="inlineStr">
        <is>
          <t>Produção</t>
        </is>
      </c>
      <c r="F9" s="3" t="inlineStr">
        <is>
          <t>Porto Alegre</t>
        </is>
      </c>
      <c r="G9" s="3" t="inlineStr">
        <is>
          <t>RS</t>
        </is>
      </c>
      <c r="H9" s="4" t="n">
        <v>44289</v>
      </c>
      <c r="I9" s="3" t="inlineStr">
        <is>
          <t>CLT</t>
        </is>
      </c>
      <c r="J9" s="3" t="inlineStr">
        <is>
          <t>Banrisul</t>
        </is>
      </c>
      <c r="K9" s="3" t="inlineStr">
        <is>
          <t>0789</t>
        </is>
      </c>
      <c r="L9" s="3" t="inlineStr">
        <is>
          <t>11223-4</t>
        </is>
      </c>
      <c r="M9" s="3" t="inlineStr">
        <is>
          <t>Corrente</t>
        </is>
      </c>
      <c r="N9" s="5" t="n">
        <v>2450</v>
      </c>
      <c r="O9" s="6" t="n">
        <v>0.06</v>
      </c>
      <c r="P9" s="5" t="n">
        <v>500</v>
      </c>
      <c r="Q9" s="5" t="n">
        <v>180</v>
      </c>
      <c r="R9" s="3">
        <f>DATEDIF(H9,TODAY(),"Y")</f>
        <v/>
      </c>
    </row>
    <row r="10">
      <c r="A10" s="7" t="inlineStr">
        <is>
          <t>M008</t>
        </is>
      </c>
      <c r="B10" s="7" t="inlineStr">
        <is>
          <t>Helena Dias Fernandes</t>
        </is>
      </c>
      <c r="C10" s="7" t="inlineStr">
        <is>
          <t>101.234.678-77</t>
        </is>
      </c>
      <c r="D10" s="7" t="inlineStr">
        <is>
          <t>Contadora</t>
        </is>
      </c>
      <c r="E10" s="7" t="inlineStr">
        <is>
          <t>Financeiro</t>
        </is>
      </c>
      <c r="F10" s="7" t="inlineStr">
        <is>
          <t>Recife</t>
        </is>
      </c>
      <c r="G10" s="7" t="inlineStr">
        <is>
          <t>PE</t>
        </is>
      </c>
      <c r="H10" s="8" t="n">
        <v>42916</v>
      </c>
      <c r="I10" s="7" t="inlineStr">
        <is>
          <t>CLT</t>
        </is>
      </c>
      <c r="J10" s="7" t="inlineStr">
        <is>
          <t>Bradesco</t>
        </is>
      </c>
      <c r="K10" s="7" t="inlineStr">
        <is>
          <t>0654</t>
        </is>
      </c>
      <c r="L10" s="7" t="inlineStr">
        <is>
          <t>44556-6</t>
        </is>
      </c>
      <c r="M10" s="7" t="inlineStr">
        <is>
          <t>Corrente</t>
        </is>
      </c>
      <c r="N10" s="5" t="n">
        <v>9200</v>
      </c>
      <c r="O10" s="6" t="n">
        <v>0.06</v>
      </c>
      <c r="P10" s="5" t="n">
        <v>850</v>
      </c>
      <c r="Q10" s="5" t="n">
        <v>420</v>
      </c>
      <c r="R10" s="7">
        <f>DATEDIF(H10,TODAY(),"Y")</f>
        <v/>
      </c>
    </row>
    <row r="11">
      <c r="A11" s="3" t="inlineStr">
        <is>
          <t>M009</t>
        </is>
      </c>
      <c r="B11" s="3" t="inlineStr">
        <is>
          <t>Igor Almeida Barros</t>
        </is>
      </c>
      <c r="C11" s="3" t="inlineStr">
        <is>
          <t>112.345.789-88</t>
        </is>
      </c>
      <c r="D11" s="3" t="inlineStr">
        <is>
          <t>Suporte TI</t>
        </is>
      </c>
      <c r="E11" s="3" t="inlineStr">
        <is>
          <t>TI</t>
        </is>
      </c>
      <c r="F11" s="3" t="inlineStr">
        <is>
          <t>Brasília</t>
        </is>
      </c>
      <c r="G11" s="3" t="inlineStr">
        <is>
          <t>DF</t>
        </is>
      </c>
      <c r="H11" s="4" t="n">
        <v>44690</v>
      </c>
      <c r="I11" s="3" t="inlineStr">
        <is>
          <t>CLT</t>
        </is>
      </c>
      <c r="J11" s="3" t="inlineStr">
        <is>
          <t>Nubank</t>
        </is>
      </c>
      <c r="K11" s="3" t="inlineStr"/>
      <c r="L11" s="3" t="inlineStr">
        <is>
          <t>789012-3</t>
        </is>
      </c>
      <c r="M11" s="3" t="inlineStr">
        <is>
          <t>Digital</t>
        </is>
      </c>
      <c r="N11" s="5" t="n">
        <v>3600</v>
      </c>
      <c r="O11" s="6" t="n">
        <v>0.06</v>
      </c>
      <c r="P11" s="5" t="n">
        <v>600</v>
      </c>
      <c r="Q11" s="5" t="n">
        <v>240</v>
      </c>
      <c r="R11" s="3">
        <f>DATEDIF(H11,TODAY(),"Y")</f>
        <v/>
      </c>
    </row>
  </sheetData>
  <mergeCells count="1">
    <mergeCell ref="A1:R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12"/>
  <sheetViews>
    <sheetView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22" customWidth="1" min="3" max="3"/>
    <col width="18" customWidth="1" min="4" max="4"/>
    <col width="16" customWidth="1" min="5" max="5"/>
    <col width="8" customWidth="1" min="6" max="6"/>
    <col width="8" customWidth="1" min="7" max="7"/>
    <col width="18" customWidth="1" min="8" max="8"/>
    <col width="9" customWidth="1" min="9" max="9"/>
    <col width="14" customWidth="1" min="10" max="10"/>
    <col width="14" customWidth="1" min="11" max="11"/>
    <col width="12" customWidth="1" min="12" max="12"/>
    <col width="16" customWidth="1" min="13" max="13"/>
    <col width="16" customWidth="1" min="14" max="14"/>
    <col width="12" customWidth="1" min="15" max="15"/>
    <col width="14" customWidth="1" min="16" max="16"/>
    <col width="12" customWidth="1" min="17" max="17"/>
    <col width="7" customWidth="1" min="18" max="18"/>
    <col width="14" customWidth="1" min="19" max="19"/>
    <col width="14" customWidth="1" min="20" max="20"/>
    <col width="16" customWidth="1" min="21" max="21"/>
    <col width="14" customWidth="1" min="22" max="22"/>
    <col width="18" customWidth="1" min="23" max="23"/>
    <col width="16" customWidth="1" min="24" max="24"/>
    <col width="18" customWidth="1" min="25" max="25"/>
  </cols>
  <sheetData>
    <row r="1" ht="28" customHeight="1">
      <c r="A1" s="1" t="inlineStr">
        <is>
          <t>HOLERITES MENSAIS — CÁLCULO CLT (INSS + IRRF SIMPLIFICADO)</t>
        </is>
      </c>
    </row>
    <row r="2" ht="40" customHeight="1">
      <c r="A2" s="2" t="inlineStr">
        <is>
          <t>Competência</t>
        </is>
      </c>
      <c r="B2" s="2" t="inlineStr">
        <is>
          <t>Matrícula</t>
        </is>
      </c>
      <c r="C2" s="2" t="inlineStr">
        <is>
          <t>Nome</t>
        </is>
      </c>
      <c r="D2" s="2" t="inlineStr">
        <is>
          <t>Cargo</t>
        </is>
      </c>
      <c r="E2" s="2" t="inlineStr">
        <is>
          <t>Salário Base (R$)</t>
        </is>
      </c>
      <c r="F2" s="2" t="inlineStr">
        <is>
          <t>Dias Mês</t>
        </is>
      </c>
      <c r="G2" s="2" t="inlineStr">
        <is>
          <t>Dias Trab.</t>
        </is>
      </c>
      <c r="H2" s="2" t="inlineStr">
        <is>
          <t>Sal. Proporcional (R$)</t>
        </is>
      </c>
      <c r="I2" s="2" t="inlineStr">
        <is>
          <t>Horas Extras</t>
        </is>
      </c>
      <c r="J2" s="2" t="inlineStr">
        <is>
          <t>Valor Hora (R$)</t>
        </is>
      </c>
      <c r="K2" s="2" t="inlineStr">
        <is>
          <t>Adic. HE 50% (R$)</t>
        </is>
      </c>
      <c r="L2" s="2" t="inlineStr">
        <is>
          <t>DSR HE (R$)</t>
        </is>
      </c>
      <c r="M2" s="2" t="inlineStr">
        <is>
          <t>Comissões/Prêmios (R$)</t>
        </is>
      </c>
      <c r="N2" s="2" t="inlineStr">
        <is>
          <t>BRUTO (R$)</t>
        </is>
      </c>
      <c r="O2" s="2" t="inlineStr">
        <is>
          <t>INSS (R$)</t>
        </is>
      </c>
      <c r="P2" s="2" t="inlineStr">
        <is>
          <t>Base IRRF (R$)</t>
        </is>
      </c>
      <c r="Q2" s="2" t="inlineStr">
        <is>
          <t>IRRF (R$)</t>
        </is>
      </c>
      <c r="R2" s="2" t="inlineStr">
        <is>
          <t>VT (%)</t>
        </is>
      </c>
      <c r="S2" s="2" t="inlineStr">
        <is>
          <t>Desconto VT (R$)</t>
        </is>
      </c>
      <c r="T2" s="2" t="inlineStr">
        <is>
          <t>VR (R$)</t>
        </is>
      </c>
      <c r="U2" s="2" t="inlineStr">
        <is>
          <t>Plano Saúde (R$)</t>
        </is>
      </c>
      <c r="V2" s="2" t="inlineStr">
        <is>
          <t>Outros Desc. (R$)</t>
        </is>
      </c>
      <c r="W2" s="2" t="inlineStr">
        <is>
          <t>TOTAL DESCONTOS (R$)</t>
        </is>
      </c>
      <c r="X2" s="2" t="inlineStr">
        <is>
          <t>LÍQUIDO (R$)</t>
        </is>
      </c>
      <c r="Y2" s="2" t="inlineStr">
        <is>
          <t>Situação</t>
        </is>
      </c>
    </row>
    <row r="3">
      <c r="A3" s="9" t="n">
        <v>45444</v>
      </c>
      <c r="B3" s="10" t="inlineStr">
        <is>
          <t>M001</t>
        </is>
      </c>
      <c r="C3" s="3">
        <f>IFERROR(VLOOKUP(B3,Funcionários!A:Q,2,FALSE),"")</f>
        <v/>
      </c>
      <c r="D3" s="3">
        <f>IFERROR(VLOOKUP(B3,Funcionários!A:Q,4,FALSE),"")</f>
        <v/>
      </c>
      <c r="E3" s="11">
        <f>IFERROR(VLOOKUP(B3,Funcionários!A:Q,14,FALSE),0)</f>
        <v/>
      </c>
      <c r="F3" s="10" t="n">
        <v>30</v>
      </c>
      <c r="G3" s="10" t="n">
        <v>30</v>
      </c>
      <c r="H3" s="11">
        <f>IF(F3&gt;0,E3/F3*G3,0)</f>
        <v/>
      </c>
      <c r="I3" s="10" t="n">
        <v>8</v>
      </c>
      <c r="J3" s="11">
        <f>E3/220</f>
        <v/>
      </c>
      <c r="K3" s="11">
        <f>I3*J3*1.5</f>
        <v/>
      </c>
      <c r="L3" s="11">
        <f>K3/6</f>
        <v/>
      </c>
      <c r="M3" s="5" t="n">
        <v>500</v>
      </c>
      <c r="N3" s="11">
        <f>SUM(H3,K3,L3,M3)</f>
        <v/>
      </c>
      <c r="O3" s="11">
        <f>IF(N3&lt;=1412,N3*0.075,IF(N3&lt;=2666.68,N3*0.09,IF(N3&lt;=4000.03,N3*0.12,N3*0.14)))</f>
        <v/>
      </c>
      <c r="P3" s="11">
        <f>MAX(0,N3-O3)</f>
        <v/>
      </c>
      <c r="Q3" s="11">
        <f>IF(P3&lt;=2259.20,0,IF(P3&lt;=2826.65,P3*0.075-169.44,IF(P3&lt;=3751.05,P3*0.15-381.44,IF(P3&lt;=4664.68,P3*0.225-662.77,P3*0.275-896.00))))</f>
        <v/>
      </c>
      <c r="R3" s="12">
        <f>IFERROR(VLOOKUP(B3,Funcionários!A:Q,15,FALSE),0)</f>
        <v/>
      </c>
      <c r="S3" s="11">
        <f>E3*R3</f>
        <v/>
      </c>
      <c r="T3" s="11">
        <f>IFERROR(VLOOKUP(B3,Funcionários!A:Q,16,FALSE),0)</f>
        <v/>
      </c>
      <c r="U3" s="11">
        <f>IFERROR(VLOOKUP(B3,Funcionários!A:Q,17,FALSE),0)</f>
        <v/>
      </c>
      <c r="V3" s="5" t="n">
        <v>0</v>
      </c>
      <c r="W3" s="11">
        <f>SUM(O3,Q3,S3,U3,V3)</f>
        <v/>
      </c>
      <c r="X3" s="11">
        <f>N3-W3</f>
        <v/>
      </c>
      <c r="Y3" s="3">
        <f>IF(X3&lt;0,"⚠ Líquido Negativo",IF(X3/N3&gt;=0.7,"✔ OK","Verificar"))</f>
        <v/>
      </c>
    </row>
    <row r="4">
      <c r="A4" s="9" t="n">
        <v>45444</v>
      </c>
      <c r="B4" s="10" t="inlineStr">
        <is>
          <t>M002</t>
        </is>
      </c>
      <c r="C4" s="7">
        <f>IFERROR(VLOOKUP(B4,Funcionários!A:Q,2,FALSE),"")</f>
        <v/>
      </c>
      <c r="D4" s="7">
        <f>IFERROR(VLOOKUP(B4,Funcionários!A:Q,4,FALSE),"")</f>
        <v/>
      </c>
      <c r="E4" s="13">
        <f>IFERROR(VLOOKUP(B4,Funcionários!A:Q,14,FALSE),0)</f>
        <v/>
      </c>
      <c r="F4" s="10" t="n">
        <v>30</v>
      </c>
      <c r="G4" s="10" t="n">
        <v>28</v>
      </c>
      <c r="H4" s="13">
        <f>IF(F4&gt;0,E4/F4*G4,0)</f>
        <v/>
      </c>
      <c r="I4" s="10" t="n">
        <v>0</v>
      </c>
      <c r="J4" s="13">
        <f>E4/220</f>
        <v/>
      </c>
      <c r="K4" s="13">
        <f>I4*J4*1.5</f>
        <v/>
      </c>
      <c r="L4" s="13">
        <f>K4/6</f>
        <v/>
      </c>
      <c r="M4" s="5" t="n">
        <v>0</v>
      </c>
      <c r="N4" s="13">
        <f>SUM(H4,K4,L4,M4)</f>
        <v/>
      </c>
      <c r="O4" s="13">
        <f>IF(N4&lt;=1412,N4*0.075,IF(N4&lt;=2666.68,N4*0.09,IF(N4&lt;=4000.03,N4*0.12,N4*0.14)))</f>
        <v/>
      </c>
      <c r="P4" s="13">
        <f>MAX(0,N4-O4)</f>
        <v/>
      </c>
      <c r="Q4" s="13">
        <f>IF(P4&lt;=2259.20,0,IF(P4&lt;=2826.65,P4*0.075-169.44,IF(P4&lt;=3751.05,P4*0.15-381.44,IF(P4&lt;=4664.68,P4*0.225-662.77,P4*0.275-896.00))))</f>
        <v/>
      </c>
      <c r="R4" s="14">
        <f>IFERROR(VLOOKUP(B4,Funcionários!A:Q,15,FALSE),0)</f>
        <v/>
      </c>
      <c r="S4" s="13">
        <f>E4*R4</f>
        <v/>
      </c>
      <c r="T4" s="13">
        <f>IFERROR(VLOOKUP(B4,Funcionários!A:Q,16,FALSE),0)</f>
        <v/>
      </c>
      <c r="U4" s="13">
        <f>IFERROR(VLOOKUP(B4,Funcionários!A:Q,17,FALSE),0)</f>
        <v/>
      </c>
      <c r="V4" s="5" t="n">
        <v>0</v>
      </c>
      <c r="W4" s="13">
        <f>SUM(O4,Q4,S4,U4,V4)</f>
        <v/>
      </c>
      <c r="X4" s="13">
        <f>N4-W4</f>
        <v/>
      </c>
      <c r="Y4" s="7">
        <f>IF(X4&lt;0,"⚠ Líquido Negativo",IF(X4/N4&gt;=0.7,"✔ OK","Verificar"))</f>
        <v/>
      </c>
    </row>
    <row r="5">
      <c r="A5" s="9" t="n">
        <v>45444</v>
      </c>
      <c r="B5" s="10" t="inlineStr">
        <is>
          <t>M003</t>
        </is>
      </c>
      <c r="C5" s="3">
        <f>IFERROR(VLOOKUP(B5,Funcionários!A:Q,2,FALSE),"")</f>
        <v/>
      </c>
      <c r="D5" s="3">
        <f>IFERROR(VLOOKUP(B5,Funcionários!A:Q,4,FALSE),"")</f>
        <v/>
      </c>
      <c r="E5" s="11">
        <f>IFERROR(VLOOKUP(B5,Funcionários!A:Q,14,FALSE),0)</f>
        <v/>
      </c>
      <c r="F5" s="10" t="n">
        <v>30</v>
      </c>
      <c r="G5" s="10" t="n">
        <v>30</v>
      </c>
      <c r="H5" s="11">
        <f>IF(F5&gt;0,E5/F5*G5,0)</f>
        <v/>
      </c>
      <c r="I5" s="10" t="n">
        <v>4</v>
      </c>
      <c r="J5" s="11">
        <f>E5/220</f>
        <v/>
      </c>
      <c r="K5" s="11">
        <f>I5*J5*1.5</f>
        <v/>
      </c>
      <c r="L5" s="11">
        <f>K5/6</f>
        <v/>
      </c>
      <c r="M5" s="5" t="n">
        <v>300</v>
      </c>
      <c r="N5" s="11">
        <f>SUM(H5,K5,L5,M5)</f>
        <v/>
      </c>
      <c r="O5" s="11">
        <f>IF(N5&lt;=1412,N5*0.075,IF(N5&lt;=2666.68,N5*0.09,IF(N5&lt;=4000.03,N5*0.12,N5*0.14)))</f>
        <v/>
      </c>
      <c r="P5" s="11">
        <f>MAX(0,N5-O5)</f>
        <v/>
      </c>
      <c r="Q5" s="11">
        <f>IF(P5&lt;=2259.20,0,IF(P5&lt;=2826.65,P5*0.075-169.44,IF(P5&lt;=3751.05,P5*0.15-381.44,IF(P5&lt;=4664.68,P5*0.225-662.77,P5*0.275-896.00))))</f>
        <v/>
      </c>
      <c r="R5" s="12">
        <f>IFERROR(VLOOKUP(B5,Funcionários!A:Q,15,FALSE),0)</f>
        <v/>
      </c>
      <c r="S5" s="11">
        <f>E5*R5</f>
        <v/>
      </c>
      <c r="T5" s="11">
        <f>IFERROR(VLOOKUP(B5,Funcionários!A:Q,16,FALSE),0)</f>
        <v/>
      </c>
      <c r="U5" s="11">
        <f>IFERROR(VLOOKUP(B5,Funcionários!A:Q,17,FALSE),0)</f>
        <v/>
      </c>
      <c r="V5" s="5" t="n">
        <v>0</v>
      </c>
      <c r="W5" s="11">
        <f>SUM(O5,Q5,S5,U5,V5)</f>
        <v/>
      </c>
      <c r="X5" s="11">
        <f>N5-W5</f>
        <v/>
      </c>
      <c r="Y5" s="3">
        <f>IF(X5&lt;0,"⚠ Líquido Negativo",IF(X5/N5&gt;=0.7,"✔ OK","Verificar"))</f>
        <v/>
      </c>
    </row>
    <row r="6">
      <c r="A6" s="9" t="n">
        <v>45444</v>
      </c>
      <c r="B6" s="10" t="inlineStr">
        <is>
          <t>M004</t>
        </is>
      </c>
      <c r="C6" s="7">
        <f>IFERROR(VLOOKUP(B6,Funcionários!A:Q,2,FALSE),"")</f>
        <v/>
      </c>
      <c r="D6" s="7">
        <f>IFERROR(VLOOKUP(B6,Funcionários!A:Q,4,FALSE),"")</f>
        <v/>
      </c>
      <c r="E6" s="13">
        <f>IFERROR(VLOOKUP(B6,Funcionários!A:Q,14,FALSE),0)</f>
        <v/>
      </c>
      <c r="F6" s="10" t="n">
        <v>30</v>
      </c>
      <c r="G6" s="10" t="n">
        <v>30</v>
      </c>
      <c r="H6" s="13">
        <f>IF(F6&gt;0,E6/F6*G6,0)</f>
        <v/>
      </c>
      <c r="I6" s="10" t="n">
        <v>10</v>
      </c>
      <c r="J6" s="13">
        <f>E6/220</f>
        <v/>
      </c>
      <c r="K6" s="13">
        <f>I6*J6*1.5</f>
        <v/>
      </c>
      <c r="L6" s="13">
        <f>K6/6</f>
        <v/>
      </c>
      <c r="M6" s="5" t="n">
        <v>1000</v>
      </c>
      <c r="N6" s="13">
        <f>SUM(H6,K6,L6,M6)</f>
        <v/>
      </c>
      <c r="O6" s="13">
        <f>IF(N6&lt;=1412,N6*0.075,IF(N6&lt;=2666.68,N6*0.09,IF(N6&lt;=4000.03,N6*0.12,N6*0.14)))</f>
        <v/>
      </c>
      <c r="P6" s="13">
        <f>MAX(0,N6-O6)</f>
        <v/>
      </c>
      <c r="Q6" s="13">
        <f>IF(P6&lt;=2259.20,0,IF(P6&lt;=2826.65,P6*0.075-169.44,IF(P6&lt;=3751.05,P6*0.15-381.44,IF(P6&lt;=4664.68,P6*0.225-662.77,P6*0.275-896.00))))</f>
        <v/>
      </c>
      <c r="R6" s="14">
        <f>IFERROR(VLOOKUP(B6,Funcionários!A:Q,15,FALSE),0)</f>
        <v/>
      </c>
      <c r="S6" s="13">
        <f>E6*R6</f>
        <v/>
      </c>
      <c r="T6" s="13">
        <f>IFERROR(VLOOKUP(B6,Funcionários!A:Q,16,FALSE),0)</f>
        <v/>
      </c>
      <c r="U6" s="13">
        <f>IFERROR(VLOOKUP(B6,Funcionários!A:Q,17,FALSE),0)</f>
        <v/>
      </c>
      <c r="V6" s="5" t="n">
        <v>0</v>
      </c>
      <c r="W6" s="13">
        <f>SUM(O6,Q6,S6,U6,V6)</f>
        <v/>
      </c>
      <c r="X6" s="13">
        <f>N6-W6</f>
        <v/>
      </c>
      <c r="Y6" s="7">
        <f>IF(X6&lt;0,"⚠ Líquido Negativo",IF(X6/N6&gt;=0.7,"✔ OK","Verificar"))</f>
        <v/>
      </c>
    </row>
    <row r="7">
      <c r="A7" s="9" t="n">
        <v>45444</v>
      </c>
      <c r="B7" s="10" t="inlineStr">
        <is>
          <t>M005</t>
        </is>
      </c>
      <c r="C7" s="3">
        <f>IFERROR(VLOOKUP(B7,Funcionários!A:Q,2,FALSE),"")</f>
        <v/>
      </c>
      <c r="D7" s="3">
        <f>IFERROR(VLOOKUP(B7,Funcionários!A:Q,4,FALSE),"")</f>
        <v/>
      </c>
      <c r="E7" s="11">
        <f>IFERROR(VLOOKUP(B7,Funcionários!A:Q,14,FALSE),0)</f>
        <v/>
      </c>
      <c r="F7" s="10" t="n">
        <v>30</v>
      </c>
      <c r="G7" s="10" t="n">
        <v>30</v>
      </c>
      <c r="H7" s="11">
        <f>IF(F7&gt;0,E7/F7*G7,0)</f>
        <v/>
      </c>
      <c r="I7" s="10" t="n">
        <v>6</v>
      </c>
      <c r="J7" s="11">
        <f>E7/220</f>
        <v/>
      </c>
      <c r="K7" s="11">
        <f>I7*J7*1.5</f>
        <v/>
      </c>
      <c r="L7" s="11">
        <f>K7/6</f>
        <v/>
      </c>
      <c r="M7" s="5" t="n">
        <v>800</v>
      </c>
      <c r="N7" s="11">
        <f>SUM(H7,K7,L7,M7)</f>
        <v/>
      </c>
      <c r="O7" s="11">
        <f>IF(N7&lt;=1412,N7*0.075,IF(N7&lt;=2666.68,N7*0.09,IF(N7&lt;=4000.03,N7*0.12,N7*0.14)))</f>
        <v/>
      </c>
      <c r="P7" s="11">
        <f>MAX(0,N7-O7)</f>
        <v/>
      </c>
      <c r="Q7" s="11">
        <f>IF(P7&lt;=2259.20,0,IF(P7&lt;=2826.65,P7*0.075-169.44,IF(P7&lt;=3751.05,P7*0.15-381.44,IF(P7&lt;=4664.68,P7*0.225-662.77,P7*0.275-896.00))))</f>
        <v/>
      </c>
      <c r="R7" s="12">
        <f>IFERROR(VLOOKUP(B7,Funcionários!A:Q,15,FALSE),0)</f>
        <v/>
      </c>
      <c r="S7" s="11">
        <f>E7*R7</f>
        <v/>
      </c>
      <c r="T7" s="11">
        <f>IFERROR(VLOOKUP(B7,Funcionários!A:Q,16,FALSE),0)</f>
        <v/>
      </c>
      <c r="U7" s="11">
        <f>IFERROR(VLOOKUP(B7,Funcionários!A:Q,17,FALSE),0)</f>
        <v/>
      </c>
      <c r="V7" s="5" t="n">
        <v>0</v>
      </c>
      <c r="W7" s="11">
        <f>SUM(O7,Q7,S7,U7,V7)</f>
        <v/>
      </c>
      <c r="X7" s="11">
        <f>N7-W7</f>
        <v/>
      </c>
      <c r="Y7" s="3">
        <f>IF(X7&lt;0,"⚠ Líquido Negativo",IF(X7/N7&gt;=0.7,"✔ OK","Verificar"))</f>
        <v/>
      </c>
    </row>
    <row r="8">
      <c r="A8" s="9" t="n">
        <v>45444</v>
      </c>
      <c r="B8" s="10" t="inlineStr">
        <is>
          <t>M006</t>
        </is>
      </c>
      <c r="C8" s="7">
        <f>IFERROR(VLOOKUP(B8,Funcionários!A:Q,2,FALSE),"")</f>
        <v/>
      </c>
      <c r="D8" s="7">
        <f>IFERROR(VLOOKUP(B8,Funcionários!A:Q,4,FALSE),"")</f>
        <v/>
      </c>
      <c r="E8" s="13">
        <f>IFERROR(VLOOKUP(B8,Funcionários!A:Q,14,FALSE),0)</f>
        <v/>
      </c>
      <c r="F8" s="10" t="n">
        <v>30</v>
      </c>
      <c r="G8" s="10" t="n">
        <v>25</v>
      </c>
      <c r="H8" s="13">
        <f>IF(F8&gt;0,E8/F8*G8,0)</f>
        <v/>
      </c>
      <c r="I8" s="10" t="n">
        <v>0</v>
      </c>
      <c r="J8" s="13">
        <f>E8/220</f>
        <v/>
      </c>
      <c r="K8" s="13">
        <f>I8*J8*1.5</f>
        <v/>
      </c>
      <c r="L8" s="13">
        <f>K8/6</f>
        <v/>
      </c>
      <c r="M8" s="5" t="n">
        <v>0</v>
      </c>
      <c r="N8" s="13">
        <f>SUM(H8,K8,L8,M8)</f>
        <v/>
      </c>
      <c r="O8" s="13">
        <f>IF(N8&lt;=1412,N8*0.075,IF(N8&lt;=2666.68,N8*0.09,IF(N8&lt;=4000.03,N8*0.12,N8*0.14)))</f>
        <v/>
      </c>
      <c r="P8" s="13">
        <f>MAX(0,N8-O8)</f>
        <v/>
      </c>
      <c r="Q8" s="13">
        <f>IF(P8&lt;=2259.20,0,IF(P8&lt;=2826.65,P8*0.075-169.44,IF(P8&lt;=3751.05,P8*0.15-381.44,IF(P8&lt;=4664.68,P8*0.225-662.77,P8*0.275-896.00))))</f>
        <v/>
      </c>
      <c r="R8" s="14">
        <f>IFERROR(VLOOKUP(B8,Funcionários!A:Q,15,FALSE),0)</f>
        <v/>
      </c>
      <c r="S8" s="13">
        <f>E8*R8</f>
        <v/>
      </c>
      <c r="T8" s="13">
        <f>IFERROR(VLOOKUP(B8,Funcionários!A:Q,16,FALSE),0)</f>
        <v/>
      </c>
      <c r="U8" s="13">
        <f>IFERROR(VLOOKUP(B8,Funcionários!A:Q,17,FALSE),0)</f>
        <v/>
      </c>
      <c r="V8" s="5" t="n">
        <v>0</v>
      </c>
      <c r="W8" s="13">
        <f>SUM(O8,Q8,S8,U8,V8)</f>
        <v/>
      </c>
      <c r="X8" s="13">
        <f>N8-W8</f>
        <v/>
      </c>
      <c r="Y8" s="7">
        <f>IF(X8&lt;0,"⚠ Líquido Negativo",IF(X8/N8&gt;=0.7,"✔ OK","Verificar"))</f>
        <v/>
      </c>
    </row>
    <row r="9">
      <c r="A9" s="9" t="n">
        <v>45444</v>
      </c>
      <c r="B9" s="10" t="inlineStr">
        <is>
          <t>M007</t>
        </is>
      </c>
      <c r="C9" s="3">
        <f>IFERROR(VLOOKUP(B9,Funcionários!A:Q,2,FALSE),"")</f>
        <v/>
      </c>
      <c r="D9" s="3">
        <f>IFERROR(VLOOKUP(B9,Funcionários!A:Q,4,FALSE),"")</f>
        <v/>
      </c>
      <c r="E9" s="11">
        <f>IFERROR(VLOOKUP(B9,Funcionários!A:Q,14,FALSE),0)</f>
        <v/>
      </c>
      <c r="F9" s="10" t="n">
        <v>30</v>
      </c>
      <c r="G9" s="10" t="n">
        <v>30</v>
      </c>
      <c r="H9" s="11">
        <f>IF(F9&gt;0,E9/F9*G9,0)</f>
        <v/>
      </c>
      <c r="I9" s="10" t="n">
        <v>12</v>
      </c>
      <c r="J9" s="11">
        <f>E9/220</f>
        <v/>
      </c>
      <c r="K9" s="11">
        <f>I9*J9*1.5</f>
        <v/>
      </c>
      <c r="L9" s="11">
        <f>K9/6</f>
        <v/>
      </c>
      <c r="M9" s="5" t="n">
        <v>0</v>
      </c>
      <c r="N9" s="11">
        <f>SUM(H9,K9,L9,M9)</f>
        <v/>
      </c>
      <c r="O9" s="11">
        <f>IF(N9&lt;=1412,N9*0.075,IF(N9&lt;=2666.68,N9*0.09,IF(N9&lt;=4000.03,N9*0.12,N9*0.14)))</f>
        <v/>
      </c>
      <c r="P9" s="11">
        <f>MAX(0,N9-O9)</f>
        <v/>
      </c>
      <c r="Q9" s="11">
        <f>IF(P9&lt;=2259.20,0,IF(P9&lt;=2826.65,P9*0.075-169.44,IF(P9&lt;=3751.05,P9*0.15-381.44,IF(P9&lt;=4664.68,P9*0.225-662.77,P9*0.275-896.00))))</f>
        <v/>
      </c>
      <c r="R9" s="12">
        <f>IFERROR(VLOOKUP(B9,Funcionários!A:Q,15,FALSE),0)</f>
        <v/>
      </c>
      <c r="S9" s="11">
        <f>E9*R9</f>
        <v/>
      </c>
      <c r="T9" s="11">
        <f>IFERROR(VLOOKUP(B9,Funcionários!A:Q,16,FALSE),0)</f>
        <v/>
      </c>
      <c r="U9" s="11">
        <f>IFERROR(VLOOKUP(B9,Funcionários!A:Q,17,FALSE),0)</f>
        <v/>
      </c>
      <c r="V9" s="5" t="n">
        <v>0</v>
      </c>
      <c r="W9" s="11">
        <f>SUM(O9,Q9,S9,U9,V9)</f>
        <v/>
      </c>
      <c r="X9" s="11">
        <f>N9-W9</f>
        <v/>
      </c>
      <c r="Y9" s="3">
        <f>IF(X9&lt;0,"⚠ Líquido Negativo",IF(X9/N9&gt;=0.7,"✔ OK","Verificar"))</f>
        <v/>
      </c>
    </row>
    <row r="10">
      <c r="A10" s="9" t="n">
        <v>45444</v>
      </c>
      <c r="B10" s="10" t="inlineStr">
        <is>
          <t>M008</t>
        </is>
      </c>
      <c r="C10" s="7">
        <f>IFERROR(VLOOKUP(B10,Funcionários!A:Q,2,FALSE),"")</f>
        <v/>
      </c>
      <c r="D10" s="7">
        <f>IFERROR(VLOOKUP(B10,Funcionários!A:Q,4,FALSE),"")</f>
        <v/>
      </c>
      <c r="E10" s="13">
        <f>IFERROR(VLOOKUP(B10,Funcionários!A:Q,14,FALSE),0)</f>
        <v/>
      </c>
      <c r="F10" s="10" t="n">
        <v>30</v>
      </c>
      <c r="G10" s="10" t="n">
        <v>30</v>
      </c>
      <c r="H10" s="13">
        <f>IF(F10&gt;0,E10/F10*G10,0)</f>
        <v/>
      </c>
      <c r="I10" s="10" t="n">
        <v>5</v>
      </c>
      <c r="J10" s="13">
        <f>E10/220</f>
        <v/>
      </c>
      <c r="K10" s="13">
        <f>I10*J10*1.5</f>
        <v/>
      </c>
      <c r="L10" s="13">
        <f>K10/6</f>
        <v/>
      </c>
      <c r="M10" s="5" t="n">
        <v>1500</v>
      </c>
      <c r="N10" s="13">
        <f>SUM(H10,K10,L10,M10)</f>
        <v/>
      </c>
      <c r="O10" s="13">
        <f>IF(N10&lt;=1412,N10*0.075,IF(N10&lt;=2666.68,N10*0.09,IF(N10&lt;=4000.03,N10*0.12,N10*0.14)))</f>
        <v/>
      </c>
      <c r="P10" s="13">
        <f>MAX(0,N10-O10)</f>
        <v/>
      </c>
      <c r="Q10" s="13">
        <f>IF(P10&lt;=2259.20,0,IF(P10&lt;=2826.65,P10*0.075-169.44,IF(P10&lt;=3751.05,P10*0.15-381.44,IF(P10&lt;=4664.68,P10*0.225-662.77,P10*0.275-896.00))))</f>
        <v/>
      </c>
      <c r="R10" s="14">
        <f>IFERROR(VLOOKUP(B10,Funcionários!A:Q,15,FALSE),0)</f>
        <v/>
      </c>
      <c r="S10" s="13">
        <f>E10*R10</f>
        <v/>
      </c>
      <c r="T10" s="13">
        <f>IFERROR(VLOOKUP(B10,Funcionários!A:Q,16,FALSE),0)</f>
        <v/>
      </c>
      <c r="U10" s="13">
        <f>IFERROR(VLOOKUP(B10,Funcionários!A:Q,17,FALSE),0)</f>
        <v/>
      </c>
      <c r="V10" s="5" t="n">
        <v>0</v>
      </c>
      <c r="W10" s="13">
        <f>SUM(O10,Q10,S10,U10,V10)</f>
        <v/>
      </c>
      <c r="X10" s="13">
        <f>N10-W10</f>
        <v/>
      </c>
      <c r="Y10" s="7">
        <f>IF(X10&lt;0,"⚠ Líquido Negativo",IF(X10/N10&gt;=0.7,"✔ OK","Verificar"))</f>
        <v/>
      </c>
    </row>
    <row r="11">
      <c r="A11" s="9" t="n">
        <v>45444</v>
      </c>
      <c r="B11" s="10" t="inlineStr">
        <is>
          <t>M009</t>
        </is>
      </c>
      <c r="C11" s="3">
        <f>IFERROR(VLOOKUP(B11,Funcionários!A:Q,2,FALSE),"")</f>
        <v/>
      </c>
      <c r="D11" s="3">
        <f>IFERROR(VLOOKUP(B11,Funcionários!A:Q,4,FALSE),"")</f>
        <v/>
      </c>
      <c r="E11" s="11">
        <f>IFERROR(VLOOKUP(B11,Funcionários!A:Q,14,FALSE),0)</f>
        <v/>
      </c>
      <c r="F11" s="10" t="n">
        <v>30</v>
      </c>
      <c r="G11" s="10" t="n">
        <v>22</v>
      </c>
      <c r="H11" s="11">
        <f>IF(F11&gt;0,E11/F11*G11,0)</f>
        <v/>
      </c>
      <c r="I11" s="10" t="n">
        <v>0</v>
      </c>
      <c r="J11" s="11">
        <f>E11/220</f>
        <v/>
      </c>
      <c r="K11" s="11">
        <f>I11*J11*1.5</f>
        <v/>
      </c>
      <c r="L11" s="11">
        <f>K11/6</f>
        <v/>
      </c>
      <c r="M11" s="5" t="n">
        <v>0</v>
      </c>
      <c r="N11" s="11">
        <f>SUM(H11,K11,L11,M11)</f>
        <v/>
      </c>
      <c r="O11" s="11">
        <f>IF(N11&lt;=1412,N11*0.075,IF(N11&lt;=2666.68,N11*0.09,IF(N11&lt;=4000.03,N11*0.12,N11*0.14)))</f>
        <v/>
      </c>
      <c r="P11" s="11">
        <f>MAX(0,N11-O11)</f>
        <v/>
      </c>
      <c r="Q11" s="11">
        <f>IF(P11&lt;=2259.20,0,IF(P11&lt;=2826.65,P11*0.075-169.44,IF(P11&lt;=3751.05,P11*0.15-381.44,IF(P11&lt;=4664.68,P11*0.225-662.77,P11*0.275-896.00))))</f>
        <v/>
      </c>
      <c r="R11" s="12">
        <f>IFERROR(VLOOKUP(B11,Funcionários!A:Q,15,FALSE),0)</f>
        <v/>
      </c>
      <c r="S11" s="11">
        <f>E11*R11</f>
        <v/>
      </c>
      <c r="T11" s="11">
        <f>IFERROR(VLOOKUP(B11,Funcionários!A:Q,16,FALSE),0)</f>
        <v/>
      </c>
      <c r="U11" s="11">
        <f>IFERROR(VLOOKUP(B11,Funcionários!A:Q,17,FALSE),0)</f>
        <v/>
      </c>
      <c r="V11" s="5" t="n">
        <v>0</v>
      </c>
      <c r="W11" s="11">
        <f>SUM(O11,Q11,S11,U11,V11)</f>
        <v/>
      </c>
      <c r="X11" s="11">
        <f>N11-W11</f>
        <v/>
      </c>
      <c r="Y11" s="3">
        <f>IF(X11&lt;0,"⚠ Líquido Negativo",IF(X11/N11&gt;=0.7,"✔ OK","Verificar"))</f>
        <v/>
      </c>
    </row>
    <row r="12">
      <c r="A12" s="2" t="inlineStr">
        <is>
          <t>TOTAIS GERAIS</t>
        </is>
      </c>
      <c r="B12" s="15" t="n"/>
      <c r="C12" s="15" t="n"/>
      <c r="D12" s="15" t="n"/>
      <c r="E12" s="15" t="n"/>
      <c r="F12" s="15" t="n"/>
      <c r="G12" s="15" t="n"/>
      <c r="H12" s="16">
        <f>SUM(H3:H11)</f>
        <v/>
      </c>
      <c r="K12" s="16">
        <f>SUM(K3:K11)</f>
        <v/>
      </c>
      <c r="M12" s="16">
        <f>SUM(M3:M11)</f>
        <v/>
      </c>
      <c r="N12" s="16">
        <f>SUM(N3:N11)</f>
        <v/>
      </c>
      <c r="O12" s="16">
        <f>SUM(O3:O11)</f>
        <v/>
      </c>
      <c r="Q12" s="16">
        <f>SUM(Q3:Q11)</f>
        <v/>
      </c>
      <c r="W12" s="16">
        <f>SUM(W3:W11)</f>
        <v/>
      </c>
      <c r="X12" s="16">
        <f>SUM(X3:X11)</f>
        <v/>
      </c>
    </row>
  </sheetData>
  <mergeCells count="2">
    <mergeCell ref="A1:Y1"/>
    <mergeCell ref="A12:G12"/>
  </mergeCells>
  <conditionalFormatting sqref="X3:X11">
    <cfRule type="expression" priority="1" dxfId="0" stopIfTrue="1">
      <formula>X3&lt;0</formula>
    </cfRule>
    <cfRule type="expression" priority="2" dxfId="1" stopIfTrue="0">
      <formula>X3&gt;=0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6" customWidth="1" min="3" max="3"/>
    <col width="14" customWidth="1" min="4" max="4"/>
    <col width="3" customWidth="1" min="5" max="5"/>
    <col width="10" customWidth="1" min="6" max="6"/>
    <col width="24" customWidth="1" min="7" max="7"/>
    <col width="14" customWidth="1" min="8" max="8"/>
    <col width="14" customWidth="1" min="9" max="9"/>
    <col width="12" customWidth="1" min="10" max="10"/>
    <col width="12" customWidth="1" min="11" max="11"/>
    <col width="14" customWidth="1" min="12" max="12"/>
    <col width="14" customWidth="1" min="13" max="13"/>
  </cols>
  <sheetData>
    <row r="1" ht="30" customHeight="1">
      <c r="A1" s="1" t="inlineStr">
        <is>
          <t>DASHBOARD — RESUMO DA FOLHA DE PAGAMENTO — JUN/2024</t>
        </is>
      </c>
    </row>
    <row r="2">
      <c r="B2" s="2" t="inlineStr">
        <is>
          <t>INDICADOR</t>
        </is>
      </c>
      <c r="C2" s="2" t="inlineStr">
        <is>
          <t>VALOR</t>
        </is>
      </c>
      <c r="D2" s="2" t="inlineStr">
        <is>
          <t>REFERÊNCIA</t>
        </is>
      </c>
      <c r="F2" s="2" t="inlineStr">
        <is>
          <t>Matrícula</t>
        </is>
      </c>
      <c r="G2" s="2" t="inlineStr">
        <is>
          <t>Nome</t>
        </is>
      </c>
      <c r="H2" s="2" t="inlineStr">
        <is>
          <t>Salário Base</t>
        </is>
      </c>
      <c r="I2" s="2" t="inlineStr">
        <is>
          <t>Bruto</t>
        </is>
      </c>
      <c r="J2" s="2" t="inlineStr">
        <is>
          <t>INSS</t>
        </is>
      </c>
      <c r="K2" s="2" t="inlineStr">
        <is>
          <t>IRRF</t>
        </is>
      </c>
      <c r="L2" s="2" t="inlineStr">
        <is>
          <t>Líquido</t>
        </is>
      </c>
      <c r="M2" s="2" t="inlineStr">
        <is>
          <t>% Desc./Bruto</t>
        </is>
      </c>
    </row>
    <row r="3">
      <c r="B3" s="17" t="inlineStr">
        <is>
          <t>Total Bruto Folha</t>
        </is>
      </c>
      <c r="C3" s="18">
        <f>SUM(Holerites!N3:N11)</f>
        <v/>
      </c>
      <c r="D3" s="3" t="inlineStr">
        <is>
          <t>Holerites</t>
        </is>
      </c>
      <c r="F3" s="3" t="inlineStr">
        <is>
          <t>M001</t>
        </is>
      </c>
      <c r="G3" s="3">
        <f>IFERROR(VLOOKUP(F3,Funcionários!A:N,2,FALSE),"")</f>
        <v/>
      </c>
      <c r="H3" s="11">
        <f>IFERROR(VLOOKUP(F3,Funcionários!A:N,14,FALSE),0)</f>
        <v/>
      </c>
      <c r="I3" s="11">
        <f>IFERROR(VLOOKUP(F3,Holerites!B:N,13,FALSE),0)</f>
        <v/>
      </c>
      <c r="J3" s="11">
        <f>IFERROR(VLOOKUP(F3,Holerites!B:O,14,FALSE),0)</f>
        <v/>
      </c>
      <c r="K3" s="11">
        <f>IFERROR(VLOOKUP(F3,Holerites!B:Q,16,FALSE),0)</f>
        <v/>
      </c>
      <c r="L3" s="11">
        <f>IFERROR(VLOOKUP(F3,Holerites!B:X,23,FALSE),0)</f>
        <v/>
      </c>
      <c r="M3" s="19">
        <f>IF(I3&gt;0,(J3+K3)/I3,0)</f>
        <v/>
      </c>
    </row>
    <row r="4">
      <c r="B4" s="20" t="inlineStr">
        <is>
          <t>Total INSS</t>
        </is>
      </c>
      <c r="C4" s="21">
        <f>SUM(Holerites!O3:O11)</f>
        <v/>
      </c>
      <c r="D4" s="7" t="inlineStr">
        <is>
          <t>Holerites</t>
        </is>
      </c>
      <c r="F4" s="7" t="inlineStr">
        <is>
          <t>M002</t>
        </is>
      </c>
      <c r="G4" s="7">
        <f>IFERROR(VLOOKUP(F4,Funcionários!A:N,2,FALSE),"")</f>
        <v/>
      </c>
      <c r="H4" s="13">
        <f>IFERROR(VLOOKUP(F4,Funcionários!A:N,14,FALSE),0)</f>
        <v/>
      </c>
      <c r="I4" s="13">
        <f>IFERROR(VLOOKUP(F4,Holerites!B:N,13,FALSE),0)</f>
        <v/>
      </c>
      <c r="J4" s="13">
        <f>IFERROR(VLOOKUP(F4,Holerites!B:O,14,FALSE),0)</f>
        <v/>
      </c>
      <c r="K4" s="13">
        <f>IFERROR(VLOOKUP(F4,Holerites!B:Q,16,FALSE),0)</f>
        <v/>
      </c>
      <c r="L4" s="13">
        <f>IFERROR(VLOOKUP(F4,Holerites!B:X,23,FALSE),0)</f>
        <v/>
      </c>
      <c r="M4" s="22">
        <f>IF(I4&gt;0,(J4+K4)/I4,0)</f>
        <v/>
      </c>
    </row>
    <row r="5">
      <c r="B5" s="17" t="inlineStr">
        <is>
          <t>Total IRRF</t>
        </is>
      </c>
      <c r="C5" s="18">
        <f>SUM(Holerites!Q3:Q11)</f>
        <v/>
      </c>
      <c r="D5" s="3" t="inlineStr">
        <is>
          <t>Holerites</t>
        </is>
      </c>
      <c r="F5" s="3" t="inlineStr">
        <is>
          <t>M003</t>
        </is>
      </c>
      <c r="G5" s="3">
        <f>IFERROR(VLOOKUP(F5,Funcionários!A:N,2,FALSE),"")</f>
        <v/>
      </c>
      <c r="H5" s="11">
        <f>IFERROR(VLOOKUP(F5,Funcionários!A:N,14,FALSE),0)</f>
        <v/>
      </c>
      <c r="I5" s="11">
        <f>IFERROR(VLOOKUP(F5,Holerites!B:N,13,FALSE),0)</f>
        <v/>
      </c>
      <c r="J5" s="11">
        <f>IFERROR(VLOOKUP(F5,Holerites!B:O,14,FALSE),0)</f>
        <v/>
      </c>
      <c r="K5" s="11">
        <f>IFERROR(VLOOKUP(F5,Holerites!B:Q,16,FALSE),0)</f>
        <v/>
      </c>
      <c r="L5" s="11">
        <f>IFERROR(VLOOKUP(F5,Holerites!B:X,23,FALSE),0)</f>
        <v/>
      </c>
      <c r="M5" s="19">
        <f>IF(I5&gt;0,(J5+K5)/I5,0)</f>
        <v/>
      </c>
    </row>
    <row r="6">
      <c r="B6" s="20" t="inlineStr">
        <is>
          <t>Total Descontos</t>
        </is>
      </c>
      <c r="C6" s="21">
        <f>SUM(Holerites!W3:W11)</f>
        <v/>
      </c>
      <c r="D6" s="7" t="inlineStr">
        <is>
          <t>Holerites</t>
        </is>
      </c>
      <c r="F6" s="7" t="inlineStr">
        <is>
          <t>M004</t>
        </is>
      </c>
      <c r="G6" s="7">
        <f>IFERROR(VLOOKUP(F6,Funcionários!A:N,2,FALSE),"")</f>
        <v/>
      </c>
      <c r="H6" s="13">
        <f>IFERROR(VLOOKUP(F6,Funcionários!A:N,14,FALSE),0)</f>
        <v/>
      </c>
      <c r="I6" s="13">
        <f>IFERROR(VLOOKUP(F6,Holerites!B:N,13,FALSE),0)</f>
        <v/>
      </c>
      <c r="J6" s="13">
        <f>IFERROR(VLOOKUP(F6,Holerites!B:O,14,FALSE),0)</f>
        <v/>
      </c>
      <c r="K6" s="13">
        <f>IFERROR(VLOOKUP(F6,Holerites!B:Q,16,FALSE),0)</f>
        <v/>
      </c>
      <c r="L6" s="13">
        <f>IFERROR(VLOOKUP(F6,Holerites!B:X,23,FALSE),0)</f>
        <v/>
      </c>
      <c r="M6" s="22">
        <f>IF(I6&gt;0,(J6+K6)/I6,0)</f>
        <v/>
      </c>
    </row>
    <row r="7">
      <c r="B7" s="17" t="inlineStr">
        <is>
          <t>Total Líquido</t>
        </is>
      </c>
      <c r="C7" s="18">
        <f>SUM(Holerites!X3:X11)</f>
        <v/>
      </c>
      <c r="D7" s="3" t="inlineStr">
        <is>
          <t>Holerites</t>
        </is>
      </c>
      <c r="F7" s="3" t="inlineStr">
        <is>
          <t>M005</t>
        </is>
      </c>
      <c r="G7" s="3">
        <f>IFERROR(VLOOKUP(F7,Funcionários!A:N,2,FALSE),"")</f>
        <v/>
      </c>
      <c r="H7" s="11">
        <f>IFERROR(VLOOKUP(F7,Funcionários!A:N,14,FALSE),0)</f>
        <v/>
      </c>
      <c r="I7" s="11">
        <f>IFERROR(VLOOKUP(F7,Holerites!B:N,13,FALSE),0)</f>
        <v/>
      </c>
      <c r="J7" s="11">
        <f>IFERROR(VLOOKUP(F7,Holerites!B:O,14,FALSE),0)</f>
        <v/>
      </c>
      <c r="K7" s="11">
        <f>IFERROR(VLOOKUP(F7,Holerites!B:Q,16,FALSE),0)</f>
        <v/>
      </c>
      <c r="L7" s="11">
        <f>IFERROR(VLOOKUP(F7,Holerites!B:X,23,FALSE),0)</f>
        <v/>
      </c>
      <c r="M7" s="19">
        <f>IF(I7&gt;0,(J7+K7)/I7,0)</f>
        <v/>
      </c>
    </row>
    <row r="8">
      <c r="B8" s="20" t="inlineStr">
        <is>
          <t>Nº Funcionários</t>
        </is>
      </c>
      <c r="C8" s="23">
        <f>COUNTA(Holerites!B3:B11)</f>
        <v/>
      </c>
      <c r="D8" s="7" t="inlineStr">
        <is>
          <t>Holerites</t>
        </is>
      </c>
      <c r="F8" s="7" t="inlineStr">
        <is>
          <t>M006</t>
        </is>
      </c>
      <c r="G8" s="7">
        <f>IFERROR(VLOOKUP(F8,Funcionários!A:N,2,FALSE),"")</f>
        <v/>
      </c>
      <c r="H8" s="13">
        <f>IFERROR(VLOOKUP(F8,Funcionários!A:N,14,FALSE),0)</f>
        <v/>
      </c>
      <c r="I8" s="13">
        <f>IFERROR(VLOOKUP(F8,Holerites!B:N,13,FALSE),0)</f>
        <v/>
      </c>
      <c r="J8" s="13">
        <f>IFERROR(VLOOKUP(F8,Holerites!B:O,14,FALSE),0)</f>
        <v/>
      </c>
      <c r="K8" s="13">
        <f>IFERROR(VLOOKUP(F8,Holerites!B:Q,16,FALSE),0)</f>
        <v/>
      </c>
      <c r="L8" s="13">
        <f>IFERROR(VLOOKUP(F8,Holerites!B:X,23,FALSE),0)</f>
        <v/>
      </c>
      <c r="M8" s="22">
        <f>IF(I8&gt;0,(J8+K8)/I8,0)</f>
        <v/>
      </c>
    </row>
    <row r="9">
      <c r="B9" s="17" t="inlineStr">
        <is>
          <t>Média Salário Base</t>
        </is>
      </c>
      <c r="C9" s="18">
        <f>AVERAGE(Funcionários!N3:N11)</f>
        <v/>
      </c>
      <c r="D9" s="3" t="inlineStr">
        <is>
          <t>Funcionários</t>
        </is>
      </c>
      <c r="F9" s="3" t="inlineStr">
        <is>
          <t>M007</t>
        </is>
      </c>
      <c r="G9" s="3">
        <f>IFERROR(VLOOKUP(F9,Funcionários!A:N,2,FALSE),"")</f>
        <v/>
      </c>
      <c r="H9" s="11">
        <f>IFERROR(VLOOKUP(F9,Funcionários!A:N,14,FALSE),0)</f>
        <v/>
      </c>
      <c r="I9" s="11">
        <f>IFERROR(VLOOKUP(F9,Holerites!B:N,13,FALSE),0)</f>
        <v/>
      </c>
      <c r="J9" s="11">
        <f>IFERROR(VLOOKUP(F9,Holerites!B:O,14,FALSE),0)</f>
        <v/>
      </c>
      <c r="K9" s="11">
        <f>IFERROR(VLOOKUP(F9,Holerites!B:Q,16,FALSE),0)</f>
        <v/>
      </c>
      <c r="L9" s="11">
        <f>IFERROR(VLOOKUP(F9,Holerites!B:X,23,FALSE),0)</f>
        <v/>
      </c>
      <c r="M9" s="19">
        <f>IF(I9&gt;0,(J9+K9)/I9,0)</f>
        <v/>
      </c>
    </row>
    <row r="10">
      <c r="B10" s="20" t="inlineStr">
        <is>
          <t>Maior Salário</t>
        </is>
      </c>
      <c r="C10" s="21">
        <f>MAX(Funcionários!N3:N11)</f>
        <v/>
      </c>
      <c r="D10" s="7" t="inlineStr">
        <is>
          <t>Funcionários</t>
        </is>
      </c>
      <c r="F10" s="7" t="inlineStr">
        <is>
          <t>M008</t>
        </is>
      </c>
      <c r="G10" s="7">
        <f>IFERROR(VLOOKUP(F10,Funcionários!A:N,2,FALSE),"")</f>
        <v/>
      </c>
      <c r="H10" s="13">
        <f>IFERROR(VLOOKUP(F10,Funcionários!A:N,14,FALSE),0)</f>
        <v/>
      </c>
      <c r="I10" s="13">
        <f>IFERROR(VLOOKUP(F10,Holerites!B:N,13,FALSE),0)</f>
        <v/>
      </c>
      <c r="J10" s="13">
        <f>IFERROR(VLOOKUP(F10,Holerites!B:O,14,FALSE),0)</f>
        <v/>
      </c>
      <c r="K10" s="13">
        <f>IFERROR(VLOOKUP(F10,Holerites!B:Q,16,FALSE),0)</f>
        <v/>
      </c>
      <c r="L10" s="13">
        <f>IFERROR(VLOOKUP(F10,Holerites!B:X,23,FALSE),0)</f>
        <v/>
      </c>
      <c r="M10" s="22">
        <f>IF(I10&gt;0,(J10+K10)/I10,0)</f>
        <v/>
      </c>
    </row>
    <row r="11">
      <c r="B11" s="17" t="inlineStr">
        <is>
          <t>Menor Salário</t>
        </is>
      </c>
      <c r="C11" s="18">
        <f>MIN(Funcionários!N3:N11)</f>
        <v/>
      </c>
      <c r="D11" s="3" t="inlineStr">
        <is>
          <t>Funcionários</t>
        </is>
      </c>
      <c r="F11" s="3" t="inlineStr">
        <is>
          <t>M009</t>
        </is>
      </c>
      <c r="G11" s="3">
        <f>IFERROR(VLOOKUP(F11,Funcionários!A:N,2,FALSE),"")</f>
        <v/>
      </c>
      <c r="H11" s="11">
        <f>IFERROR(VLOOKUP(F11,Funcionários!A:N,14,FALSE),0)</f>
        <v/>
      </c>
      <c r="I11" s="11">
        <f>IFERROR(VLOOKUP(F11,Holerites!B:N,13,FALSE),0)</f>
        <v/>
      </c>
      <c r="J11" s="11">
        <f>IFERROR(VLOOKUP(F11,Holerites!B:O,14,FALSE),0)</f>
        <v/>
      </c>
      <c r="K11" s="11">
        <f>IFERROR(VLOOKUP(F11,Holerites!B:Q,16,FALSE),0)</f>
        <v/>
      </c>
      <c r="L11" s="11">
        <f>IFERROR(VLOOKUP(F11,Holerites!B:X,23,FALSE),0)</f>
        <v/>
      </c>
      <c r="M11" s="19">
        <f>IF(I11&gt;0,(J11+K11)/I11,0)</f>
        <v/>
      </c>
    </row>
    <row r="12">
      <c r="B12" s="20" t="inlineStr">
        <is>
          <t>% Desconto/Bruto</t>
        </is>
      </c>
      <c r="C12" s="24">
        <f>IF(B3&gt;0,B7/B3,0)</f>
        <v/>
      </c>
      <c r="D12" s="7" t="inlineStr">
        <is>
          <t>Funcionários</t>
        </is>
      </c>
      <c r="F12" s="25" t="inlineStr">
        <is>
          <t>TOTAL</t>
        </is>
      </c>
      <c r="G12" s="25" t="inlineStr"/>
      <c r="H12" s="16">
        <f>SUM(H3:H11)</f>
        <v/>
      </c>
      <c r="I12" s="16">
        <f>SUM(I3:I11)</f>
        <v/>
      </c>
      <c r="J12" s="16">
        <f>SUM(J3:J11)</f>
        <v/>
      </c>
      <c r="K12" s="16">
        <f>SUM(K3:K11)</f>
        <v/>
      </c>
      <c r="L12" s="16">
        <f>SUM(L3:L11)</f>
        <v/>
      </c>
      <c r="M12" s="25" t="inlineStr"/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52" customWidth="1" min="3" max="3"/>
    <col width="38" customWidth="1" min="4" max="4"/>
  </cols>
  <sheetData>
    <row r="1" ht="30" customHeight="1">
      <c r="A1" s="1" t="inlineStr">
        <is>
          <t>INSTRUÇÕES DE USO — MODELO DE HOLERITE CLT</t>
        </is>
      </c>
    </row>
    <row r="2" ht="22" customHeight="1">
      <c r="A2" s="26" t="inlineStr">
        <is>
          <t>ABA</t>
        </is>
      </c>
      <c r="B2" s="26" t="inlineStr">
        <is>
          <t>COLUNA / CAMPO</t>
        </is>
      </c>
      <c r="C2" s="26" t="inlineStr">
        <is>
          <t>DESCRIÇÃO</t>
        </is>
      </c>
      <c r="D2" s="26" t="inlineStr">
        <is>
          <t>OBSERVAÇÃO</t>
        </is>
      </c>
    </row>
    <row r="3" ht="22" customHeight="1">
      <c r="A3" s="27" t="inlineStr">
        <is>
          <t>Funcionários</t>
        </is>
      </c>
      <c r="B3" s="27" t="inlineStr">
        <is>
          <t>A — Matrícula</t>
        </is>
      </c>
      <c r="C3" s="27" t="inlineStr">
        <is>
          <t>Código único do funcionário (ex.: M001)</t>
        </is>
      </c>
      <c r="D3" s="27" t="inlineStr">
        <is>
          <t>Usar padrão M + 3 dígitos</t>
        </is>
      </c>
    </row>
    <row r="4" ht="22" customHeight="1">
      <c r="A4" s="28" t="inlineStr">
        <is>
          <t>Funcionários</t>
        </is>
      </c>
      <c r="B4" s="28" t="inlineStr">
        <is>
          <t>N — Salário Base</t>
        </is>
      </c>
      <c r="C4" s="28" t="inlineStr">
        <is>
          <t>Salário mensal bruto contratado (R$)</t>
        </is>
      </c>
      <c r="D4" s="28" t="inlineStr">
        <is>
          <t>Célula amarela = editável</t>
        </is>
      </c>
    </row>
    <row r="5" ht="22" customHeight="1">
      <c r="A5" s="27" t="inlineStr">
        <is>
          <t>Funcionários</t>
        </is>
      </c>
      <c r="B5" s="27" t="inlineStr">
        <is>
          <t>O — Vale-Transporte (%)</t>
        </is>
      </c>
      <c r="C5" s="27" t="inlineStr">
        <is>
          <t>Percentual de desconto VT (padrão CLT: 6%)</t>
        </is>
      </c>
      <c r="D5" s="27" t="inlineStr">
        <is>
          <t>Inserir como 0,06</t>
        </is>
      </c>
    </row>
    <row r="6" ht="22" customHeight="1">
      <c r="A6" s="28" t="inlineStr">
        <is>
          <t>Funcionários</t>
        </is>
      </c>
      <c r="B6" s="28" t="inlineStr">
        <is>
          <t>P — Vale-Refeição</t>
        </is>
      </c>
      <c r="C6" s="28" t="inlineStr">
        <is>
          <t>Valor mensal do benefício VR (R$)</t>
        </is>
      </c>
      <c r="D6" s="28" t="inlineStr">
        <is>
          <t>Editável conforme acordo coletivo</t>
        </is>
      </c>
    </row>
    <row r="7" ht="22" customHeight="1">
      <c r="A7" s="27" t="inlineStr">
        <is>
          <t>Funcionários</t>
        </is>
      </c>
      <c r="B7" s="27" t="inlineStr">
        <is>
          <t>Q — Plano de Saúde</t>
        </is>
      </c>
      <c r="C7" s="27" t="inlineStr">
        <is>
          <t>Valor mensal do desconto de saúde (R$)</t>
        </is>
      </c>
      <c r="D7" s="27" t="inlineStr">
        <is>
          <t>Editável</t>
        </is>
      </c>
    </row>
    <row r="8" ht="22" customHeight="1">
      <c r="A8" s="28" t="inlineStr">
        <is>
          <t>Funcionários</t>
        </is>
      </c>
      <c r="B8" s="28" t="inlineStr">
        <is>
          <t>R — Tempo de Casa</t>
        </is>
      </c>
      <c r="C8" s="28" t="inlineStr">
        <is>
          <t>Calculado automaticamente via DATEDIF</t>
        </is>
      </c>
      <c r="D8" s="28" t="inlineStr">
        <is>
          <t>Não editar</t>
        </is>
      </c>
    </row>
    <row r="9" ht="22" customHeight="1">
      <c r="A9" s="27" t="inlineStr">
        <is>
          <t>Holerites</t>
        </is>
      </c>
      <c r="B9" s="27" t="inlineStr">
        <is>
          <t>A — Competência</t>
        </is>
      </c>
      <c r="C9" s="27" t="inlineStr">
        <is>
          <t>Data de referência do mês (ex.: 01/06/2024)</t>
        </is>
      </c>
      <c r="D9" s="27" t="inlineStr">
        <is>
          <t>Formato exibido: MM/AAAA</t>
        </is>
      </c>
    </row>
    <row r="10" ht="22" customHeight="1">
      <c r="A10" s="28" t="inlineStr">
        <is>
          <t>Holerites</t>
        </is>
      </c>
      <c r="B10" s="28" t="inlineStr">
        <is>
          <t>B — Matrícula</t>
        </is>
      </c>
      <c r="C10" s="28" t="inlineStr">
        <is>
          <t>Informar a matrícula do funcionário</t>
        </is>
      </c>
      <c r="D10" s="28" t="inlineStr">
        <is>
          <t>Deve existir na aba Funcionários</t>
        </is>
      </c>
    </row>
    <row r="11" ht="22" customHeight="1">
      <c r="A11" s="27" t="inlineStr">
        <is>
          <t>Holerites</t>
        </is>
      </c>
      <c r="B11" s="27" t="inlineStr">
        <is>
          <t>F/G — Dias</t>
        </is>
      </c>
      <c r="C11" s="27" t="inlineStr">
        <is>
          <t>Dias no mês (30) e dias efetivamente trabalhados</t>
        </is>
      </c>
      <c r="D11" s="27" t="inlineStr">
        <is>
          <t>Células amarelas</t>
        </is>
      </c>
    </row>
    <row r="12" ht="22" customHeight="1">
      <c r="A12" s="28" t="inlineStr">
        <is>
          <t>Holerites</t>
        </is>
      </c>
      <c r="B12" s="28" t="inlineStr">
        <is>
          <t>I — Horas Extras</t>
        </is>
      </c>
      <c r="C12" s="28" t="inlineStr">
        <is>
          <t>Quantidade de horas extras realizadas</t>
        </is>
      </c>
      <c r="D12" s="28" t="inlineStr">
        <is>
          <t>Calculadas com 50% adicional</t>
        </is>
      </c>
    </row>
    <row r="13" ht="22" customHeight="1">
      <c r="A13" s="27" t="inlineStr">
        <is>
          <t>Holerites</t>
        </is>
      </c>
      <c r="B13" s="27" t="inlineStr">
        <is>
          <t>M — Comissões</t>
        </is>
      </c>
      <c r="C13" s="27" t="inlineStr">
        <is>
          <t>Comissões ou prêmios do mês (R$)</t>
        </is>
      </c>
      <c r="D13" s="27" t="inlineStr">
        <is>
          <t>Células amarelas</t>
        </is>
      </c>
    </row>
    <row r="14" ht="22" customHeight="1">
      <c r="A14" s="28" t="inlineStr">
        <is>
          <t>Holerites</t>
        </is>
      </c>
      <c r="B14" s="28" t="inlineStr">
        <is>
          <t>O — INSS</t>
        </is>
      </c>
      <c r="C14" s="28" t="inlineStr">
        <is>
          <t>Calculado por faixas progressivas simplificadas</t>
        </is>
      </c>
      <c r="D14" s="28" t="inlineStr">
        <is>
          <t>Tabela 2024 aproximada</t>
        </is>
      </c>
    </row>
    <row r="15" ht="22" customHeight="1">
      <c r="A15" s="27" t="inlineStr">
        <is>
          <t>Holerites</t>
        </is>
      </c>
      <c r="B15" s="27" t="inlineStr">
        <is>
          <t>Q — IRRF</t>
        </is>
      </c>
      <c r="C15" s="27" t="inlineStr">
        <is>
          <t>Calculado sobre base = Bruto – INSS</t>
        </is>
      </c>
      <c r="D15" s="27" t="inlineStr">
        <is>
          <t>Tabela 2024 simplificada</t>
        </is>
      </c>
    </row>
    <row r="16" ht="22" customHeight="1">
      <c r="A16" s="28" t="inlineStr">
        <is>
          <t>Holerites</t>
        </is>
      </c>
      <c r="B16" s="28" t="inlineStr">
        <is>
          <t>X — Líquido</t>
        </is>
      </c>
      <c r="C16" s="28" t="inlineStr">
        <is>
          <t>Valor líquido a receber pelo funcionário</t>
        </is>
      </c>
      <c r="D16" s="28" t="inlineStr">
        <is>
          <t>Verde = OK / Vermelho = alerta</t>
        </is>
      </c>
    </row>
    <row r="17" ht="22" customHeight="1">
      <c r="A17" s="27" t="inlineStr">
        <is>
          <t>Dashboard</t>
        </is>
      </c>
      <c r="B17" s="27" t="inlineStr">
        <is>
          <t>—</t>
        </is>
      </c>
      <c r="C17" s="27" t="inlineStr">
        <is>
          <t>Resumo automático da folha do mês</t>
        </is>
      </c>
      <c r="D17" s="27" t="inlineStr">
        <is>
          <t>Não editar — fórmulas automáticas</t>
        </is>
      </c>
    </row>
    <row r="18" ht="22" customHeight="1">
      <c r="A18" s="28" t="inlineStr">
        <is>
          <t>Dashboard</t>
        </is>
      </c>
      <c r="B18" s="28" t="inlineStr">
        <is>
          <t>Gráficos</t>
        </is>
      </c>
      <c r="C18" s="28" t="inlineStr">
        <is>
          <t>Bruto vs Líquido e Composição de Descontos</t>
        </is>
      </c>
      <c r="D18" s="28" t="inlineStr">
        <is>
          <t>Atualizados automaticamente</t>
        </is>
      </c>
    </row>
    <row r="19" ht="22" customHeight="1">
      <c r="A19" s="27" t="inlineStr">
        <is>
          <t>Geral</t>
        </is>
      </c>
      <c r="B19" s="27" t="inlineStr">
        <is>
          <t>INSS 2024</t>
        </is>
      </c>
      <c r="C19" s="27" t="inlineStr">
        <is>
          <t>Até R$ 1.412 → 7,5% | Até R$ 2.666,68 → 9%</t>
        </is>
      </c>
      <c r="D19" s="27" t="inlineStr">
        <is>
          <t>R$ 4.000,03+ → 14%</t>
        </is>
      </c>
    </row>
    <row r="20" ht="22" customHeight="1">
      <c r="A20" s="28" t="inlineStr">
        <is>
          <t>Geral</t>
        </is>
      </c>
      <c r="B20" s="28" t="inlineStr">
        <is>
          <t>IRRF 2024</t>
        </is>
      </c>
      <c r="C20" s="28" t="inlineStr">
        <is>
          <t>Até R$ 2.259,20 → isento | 7,5% | 15% | 22,5% | 27,5%</t>
        </is>
      </c>
      <c r="D20" s="28" t="inlineStr">
        <is>
          <t>Parcelas dedutíveis aplicadas</t>
        </is>
      </c>
    </row>
    <row r="21" ht="22" customHeight="1">
      <c r="A21" s="27" t="inlineStr">
        <is>
          <t>Geral</t>
        </is>
      </c>
      <c r="B21" s="27" t="inlineStr">
        <is>
          <t>Dúvidas</t>
        </is>
      </c>
      <c r="C21" s="27" t="inlineStr">
        <is>
          <t>Consulte o departamento de RH ou contador responsável</t>
        </is>
      </c>
      <c r="D21" s="27" t="inlineStr">
        <is>
          <t>Modelo de uso educacional</t>
        </is>
      </c>
    </row>
    <row r="22" ht="22" customHeight="1"/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2026-04-15T09:00:24Z</dcterms:created>
  <dcterms:modified xmlns:dcterms="http://purl.org/dc/terms/" xmlns:xsi="http://www.w3.org/2001/XMLSchema-instance" xsi:type="dcterms:W3CDTF">2026-04-15T09:00:24Z</dcterms:modified>
</cp:coreProperties>
</file>